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onathan\Desktop\Bids\2025 Bids\Massachusetts\GBPC - Aftermarket Bid\"/>
    </mc:Choice>
  </mc:AlternateContent>
  <xr:revisionPtr revIDLastSave="0" documentId="13_ncr:1_{87C361E6-3506-47E3-9FE6-B3CFAC283F4B}" xr6:coauthVersionLast="36" xr6:coauthVersionMax="36" xr10:uidLastSave="{00000000-0000-0000-0000-000000000000}"/>
  <bookViews>
    <workbookView xWindow="0" yWindow="0" windowWidth="28800" windowHeight="12105" xr2:uid="{EEB492B5-136E-43CC-AC07-B909400F2AE2}"/>
  </bookViews>
  <sheets>
    <sheet name="Cover Page" sheetId="4" r:id="rId1"/>
    <sheet name="DSS Preferred Equipment" sheetId="1" r:id="rId2"/>
    <sheet name="DSS List of Services" sheetId="2" r:id="rId3"/>
    <sheet name="DSS Additional Top Sellers List" sheetId="3"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751" i="3" l="1"/>
  <c r="A11750" i="3"/>
  <c r="A11749" i="3"/>
  <c r="A11748" i="3"/>
  <c r="A11747" i="3"/>
  <c r="A11746" i="3"/>
  <c r="A11745" i="3"/>
  <c r="A11744" i="3"/>
  <c r="A11743" i="3"/>
  <c r="A11742" i="3"/>
  <c r="A11741" i="3"/>
  <c r="A11740" i="3"/>
  <c r="A11739" i="3"/>
  <c r="A11738" i="3"/>
  <c r="A11737" i="3"/>
  <c r="A11736" i="3"/>
  <c r="A11735" i="3"/>
  <c r="A11734" i="3"/>
  <c r="A11733" i="3"/>
  <c r="A11732" i="3"/>
  <c r="A11731" i="3"/>
  <c r="A11730" i="3"/>
  <c r="A11729" i="3"/>
  <c r="A11728" i="3"/>
  <c r="A11727" i="3"/>
  <c r="A11726" i="3"/>
  <c r="A11725" i="3"/>
  <c r="A11724" i="3"/>
  <c r="A11723" i="3"/>
  <c r="A11722" i="3"/>
  <c r="A11721" i="3"/>
  <c r="A11720" i="3"/>
  <c r="A11719" i="3"/>
  <c r="A11718" i="3"/>
  <c r="A11717" i="3"/>
  <c r="A11716" i="3"/>
  <c r="A11715" i="3"/>
  <c r="A11714" i="3"/>
  <c r="A11713" i="3"/>
  <c r="A11712" i="3"/>
  <c r="A11711" i="3"/>
  <c r="A11710" i="3"/>
  <c r="A11709" i="3"/>
  <c r="A11708" i="3"/>
  <c r="A11707" i="3"/>
  <c r="A11706" i="3"/>
  <c r="A11705" i="3"/>
  <c r="A11704" i="3"/>
  <c r="A11703" i="3"/>
  <c r="A11702" i="3"/>
  <c r="A11701" i="3"/>
  <c r="A11700" i="3"/>
  <c r="A11699" i="3"/>
  <c r="A11698" i="3"/>
  <c r="A11697" i="3"/>
  <c r="A11696" i="3"/>
  <c r="A11695" i="3"/>
  <c r="A11694" i="3"/>
  <c r="A11693" i="3"/>
  <c r="A11692" i="3"/>
  <c r="A11691" i="3"/>
  <c r="A11690" i="3"/>
  <c r="A11689" i="3"/>
  <c r="A11688" i="3"/>
  <c r="A11687" i="3"/>
  <c r="A11686" i="3"/>
  <c r="A11685" i="3"/>
  <c r="A11684" i="3"/>
  <c r="A11683" i="3"/>
  <c r="A11682" i="3"/>
  <c r="A11681" i="3"/>
  <c r="A11680" i="3"/>
  <c r="A11679" i="3"/>
  <c r="A11678" i="3"/>
  <c r="A11677" i="3"/>
  <c r="A11676" i="3"/>
  <c r="A11675" i="3"/>
  <c r="A11674" i="3"/>
  <c r="A11673" i="3"/>
  <c r="A11672" i="3"/>
  <c r="A11671" i="3"/>
  <c r="A11670" i="3"/>
  <c r="A11669" i="3"/>
  <c r="A11668" i="3"/>
  <c r="A11667" i="3"/>
  <c r="A11666" i="3"/>
  <c r="A11665" i="3"/>
  <c r="A11664" i="3"/>
  <c r="A11663" i="3"/>
  <c r="A11662" i="3"/>
  <c r="A11661" i="3"/>
  <c r="A11660" i="3"/>
  <c r="A11659" i="3"/>
  <c r="A11658" i="3"/>
  <c r="A11657" i="3"/>
  <c r="A11656" i="3"/>
  <c r="A11655" i="3"/>
  <c r="A11654" i="3"/>
  <c r="A11653" i="3"/>
  <c r="A11652" i="3"/>
  <c r="A11651" i="3"/>
  <c r="A11650" i="3"/>
  <c r="A11649" i="3"/>
  <c r="A11648" i="3"/>
  <c r="A11647" i="3"/>
  <c r="A11646" i="3"/>
  <c r="A11645" i="3"/>
  <c r="A11644" i="3"/>
  <c r="A11643" i="3"/>
  <c r="A11642" i="3"/>
  <c r="A11641" i="3"/>
  <c r="A11640" i="3"/>
  <c r="A11639" i="3"/>
  <c r="A11638" i="3"/>
  <c r="A11637" i="3"/>
  <c r="A11636" i="3"/>
  <c r="A11635" i="3"/>
  <c r="A11634" i="3"/>
  <c r="A11633" i="3"/>
  <c r="A11632" i="3"/>
  <c r="A11631" i="3"/>
  <c r="A11630" i="3"/>
  <c r="A11629" i="3"/>
  <c r="A11628" i="3"/>
  <c r="A11627" i="3"/>
  <c r="A11626" i="3"/>
  <c r="A11625" i="3"/>
  <c r="A11624" i="3"/>
  <c r="A11623" i="3"/>
  <c r="A11622" i="3"/>
  <c r="A11621" i="3"/>
  <c r="A11620" i="3"/>
  <c r="A11619" i="3"/>
  <c r="A11618" i="3"/>
  <c r="A11617" i="3"/>
  <c r="A11616" i="3"/>
  <c r="A11615" i="3"/>
  <c r="A11614" i="3"/>
  <c r="A11613" i="3"/>
  <c r="A11612" i="3"/>
  <c r="A11611" i="3"/>
  <c r="A11610" i="3"/>
  <c r="A11609" i="3"/>
  <c r="A11608" i="3"/>
  <c r="A11607" i="3"/>
  <c r="A11606" i="3"/>
  <c r="A11605" i="3"/>
  <c r="A11604" i="3"/>
  <c r="A11603" i="3"/>
  <c r="A11602" i="3"/>
  <c r="A11601" i="3"/>
  <c r="A11600" i="3"/>
  <c r="A11599" i="3"/>
  <c r="A11598" i="3"/>
  <c r="A11597" i="3"/>
  <c r="A11596" i="3"/>
  <c r="A11595" i="3"/>
  <c r="A11594" i="3"/>
  <c r="A11593" i="3"/>
  <c r="A11592" i="3"/>
  <c r="A11591" i="3"/>
  <c r="A11590" i="3"/>
  <c r="A11589" i="3"/>
  <c r="A11588" i="3"/>
  <c r="A11587" i="3"/>
  <c r="A11586" i="3"/>
  <c r="A11585" i="3"/>
  <c r="A11584" i="3"/>
  <c r="A11583" i="3"/>
  <c r="A11582" i="3"/>
  <c r="A11581" i="3"/>
  <c r="A11580" i="3"/>
  <c r="A11579" i="3"/>
  <c r="A11578" i="3"/>
  <c r="A11577" i="3"/>
  <c r="A11576" i="3"/>
  <c r="A11575" i="3"/>
  <c r="A11574" i="3"/>
  <c r="A11573" i="3"/>
  <c r="A11572" i="3"/>
  <c r="A11571" i="3"/>
  <c r="A11570" i="3"/>
  <c r="A11569" i="3"/>
  <c r="A11568" i="3"/>
  <c r="A11567" i="3"/>
  <c r="A11566" i="3"/>
  <c r="A11565" i="3"/>
  <c r="A11564" i="3"/>
  <c r="A11563" i="3"/>
  <c r="A11562" i="3"/>
  <c r="A11561" i="3"/>
  <c r="A11560" i="3"/>
  <c r="A11559" i="3"/>
  <c r="A11558" i="3"/>
  <c r="A11557" i="3"/>
  <c r="A11556" i="3"/>
  <c r="A11555" i="3"/>
  <c r="A11554" i="3"/>
  <c r="A11553" i="3"/>
  <c r="A11552" i="3"/>
  <c r="A11551" i="3"/>
  <c r="A11550" i="3"/>
  <c r="A11549" i="3"/>
  <c r="A11548" i="3"/>
  <c r="A11547" i="3"/>
  <c r="A11546" i="3"/>
  <c r="A11545" i="3"/>
  <c r="A11544" i="3"/>
  <c r="A11543" i="3"/>
  <c r="A11542" i="3"/>
  <c r="A11541" i="3"/>
  <c r="A11540" i="3"/>
  <c r="A11539" i="3"/>
  <c r="A11538" i="3"/>
  <c r="A11537" i="3"/>
  <c r="A11536" i="3"/>
  <c r="A11535" i="3"/>
  <c r="A11534" i="3"/>
  <c r="A11533" i="3"/>
  <c r="A11532" i="3"/>
  <c r="A11531" i="3"/>
  <c r="A11530" i="3"/>
  <c r="A11529" i="3"/>
  <c r="A11528" i="3"/>
  <c r="A11527" i="3"/>
  <c r="A11526" i="3"/>
  <c r="A11525" i="3"/>
  <c r="A11524" i="3"/>
  <c r="A11523" i="3"/>
  <c r="A11522" i="3"/>
  <c r="A11521" i="3"/>
  <c r="A11520" i="3"/>
  <c r="A11519" i="3"/>
  <c r="A11518" i="3"/>
  <c r="A11517" i="3"/>
  <c r="A11516" i="3"/>
  <c r="A11515" i="3"/>
  <c r="A11514" i="3"/>
  <c r="A11513" i="3"/>
  <c r="A11512" i="3"/>
  <c r="A11511" i="3"/>
  <c r="A11510" i="3"/>
  <c r="A11509" i="3"/>
  <c r="A11508" i="3"/>
  <c r="A11507" i="3"/>
  <c r="A11506" i="3"/>
  <c r="A11505" i="3"/>
  <c r="A11504" i="3"/>
  <c r="A11503" i="3"/>
  <c r="A11502" i="3"/>
  <c r="A11501" i="3"/>
  <c r="A11500" i="3"/>
  <c r="A11499" i="3"/>
  <c r="A11498" i="3"/>
  <c r="A11497" i="3"/>
  <c r="A11496" i="3"/>
  <c r="A11495" i="3"/>
  <c r="A11494" i="3"/>
  <c r="A11493" i="3"/>
  <c r="A11492" i="3"/>
  <c r="A11491" i="3"/>
  <c r="A11490" i="3"/>
  <c r="A11489" i="3"/>
  <c r="A11488" i="3"/>
  <c r="A11487" i="3"/>
  <c r="A11486" i="3"/>
  <c r="A11485" i="3"/>
  <c r="A11484" i="3"/>
  <c r="A11483" i="3"/>
  <c r="A11482" i="3"/>
  <c r="A11481" i="3"/>
  <c r="A11480" i="3"/>
  <c r="A11479" i="3"/>
  <c r="A11478" i="3"/>
  <c r="A11477" i="3"/>
  <c r="A11476" i="3"/>
  <c r="A11475" i="3"/>
  <c r="A11474" i="3"/>
  <c r="A11473" i="3"/>
  <c r="A11472" i="3"/>
  <c r="A11471" i="3"/>
  <c r="A11470" i="3"/>
  <c r="A11469" i="3"/>
  <c r="A11468" i="3"/>
  <c r="A11467" i="3"/>
  <c r="A11466" i="3"/>
  <c r="A11465" i="3"/>
  <c r="A11464" i="3"/>
  <c r="A11463" i="3"/>
  <c r="A11462" i="3"/>
  <c r="A11461" i="3"/>
  <c r="A11460" i="3"/>
  <c r="A11459" i="3"/>
  <c r="A11458" i="3"/>
  <c r="A11457" i="3"/>
  <c r="A11456" i="3"/>
  <c r="A11455" i="3"/>
  <c r="A11454" i="3"/>
  <c r="A11453" i="3"/>
  <c r="A11452" i="3"/>
  <c r="A11451" i="3"/>
  <c r="A11450" i="3"/>
  <c r="A11449" i="3"/>
  <c r="A11448" i="3"/>
  <c r="A11447" i="3"/>
  <c r="A11446" i="3"/>
  <c r="A11445" i="3"/>
  <c r="A11444" i="3"/>
  <c r="A11443" i="3"/>
  <c r="A11442" i="3"/>
  <c r="A11441" i="3"/>
  <c r="A11440" i="3"/>
  <c r="A11439" i="3"/>
  <c r="A11438" i="3"/>
  <c r="A11437" i="3"/>
  <c r="A11436" i="3"/>
  <c r="A11435" i="3"/>
  <c r="A11434" i="3"/>
  <c r="A11433" i="3"/>
  <c r="A11432" i="3"/>
  <c r="A11431" i="3"/>
  <c r="A11430" i="3"/>
  <c r="A11429" i="3"/>
  <c r="A11428" i="3"/>
  <c r="A11427" i="3"/>
  <c r="A11426" i="3"/>
  <c r="A11425" i="3"/>
  <c r="A11424" i="3"/>
  <c r="A11423" i="3"/>
  <c r="A11422" i="3"/>
  <c r="A11421" i="3"/>
  <c r="A11420" i="3"/>
  <c r="A11419" i="3"/>
  <c r="A11418" i="3"/>
  <c r="A11417" i="3"/>
  <c r="A11416" i="3"/>
  <c r="A11415" i="3"/>
  <c r="A11414" i="3"/>
  <c r="A11413" i="3"/>
  <c r="A11412" i="3"/>
  <c r="A11411" i="3"/>
  <c r="A11410" i="3"/>
  <c r="A11409" i="3"/>
  <c r="A11408" i="3"/>
  <c r="A11407" i="3"/>
  <c r="A11406" i="3"/>
  <c r="A11405" i="3"/>
  <c r="A11404" i="3"/>
  <c r="A11403" i="3"/>
  <c r="A11402" i="3"/>
  <c r="A11401" i="3"/>
  <c r="A11400" i="3"/>
  <c r="A11399" i="3"/>
  <c r="A11398" i="3"/>
  <c r="A11397" i="3"/>
  <c r="A11396" i="3"/>
  <c r="A11395" i="3"/>
  <c r="A11394" i="3"/>
  <c r="A11393" i="3"/>
  <c r="A11392" i="3"/>
  <c r="A11391" i="3"/>
  <c r="A11390" i="3"/>
  <c r="A11389" i="3"/>
  <c r="A11388" i="3"/>
  <c r="A11387" i="3"/>
  <c r="A11386" i="3"/>
  <c r="A11385" i="3"/>
  <c r="A11384" i="3"/>
  <c r="A11383" i="3"/>
  <c r="A11382" i="3"/>
  <c r="A11381" i="3"/>
  <c r="A11380" i="3"/>
  <c r="A11379" i="3"/>
  <c r="A11378" i="3"/>
  <c r="A11377" i="3"/>
  <c r="A11376" i="3"/>
  <c r="A11375" i="3"/>
  <c r="A11374" i="3"/>
  <c r="A11373" i="3"/>
  <c r="A11372" i="3"/>
  <c r="A11371" i="3"/>
  <c r="A11370" i="3"/>
  <c r="A11369" i="3"/>
  <c r="A11368" i="3"/>
  <c r="A11367" i="3"/>
  <c r="A11366" i="3"/>
  <c r="A11365" i="3"/>
  <c r="A11364" i="3"/>
  <c r="A11363" i="3"/>
  <c r="A11362" i="3"/>
  <c r="A11361" i="3"/>
  <c r="A11360" i="3"/>
  <c r="A11359" i="3"/>
  <c r="A11358" i="3"/>
  <c r="A11357" i="3"/>
  <c r="A11356" i="3"/>
  <c r="A11355" i="3"/>
  <c r="A11354" i="3"/>
  <c r="A11353" i="3"/>
  <c r="A11352" i="3"/>
  <c r="A11351" i="3"/>
  <c r="A11350" i="3"/>
  <c r="A11349" i="3"/>
  <c r="A11348" i="3"/>
  <c r="A11347" i="3"/>
  <c r="A11346" i="3"/>
  <c r="A11345" i="3"/>
  <c r="A11344" i="3"/>
  <c r="A11343" i="3"/>
  <c r="A11342" i="3"/>
  <c r="A11341" i="3"/>
  <c r="A11340" i="3"/>
  <c r="A11339" i="3"/>
  <c r="A11338" i="3"/>
  <c r="A11337" i="3"/>
  <c r="A11336" i="3"/>
  <c r="A11335" i="3"/>
  <c r="A11334" i="3"/>
  <c r="A11333" i="3"/>
  <c r="A11332" i="3"/>
  <c r="A11331" i="3"/>
  <c r="A11330" i="3"/>
  <c r="A11329" i="3"/>
  <c r="A11328" i="3"/>
  <c r="A11327" i="3"/>
  <c r="A11326" i="3"/>
  <c r="A11325" i="3"/>
  <c r="A11324" i="3"/>
  <c r="A11323" i="3"/>
  <c r="A11322" i="3"/>
  <c r="A11321" i="3"/>
  <c r="A11320" i="3"/>
  <c r="A11319" i="3"/>
  <c r="A11318" i="3"/>
  <c r="A11317" i="3"/>
  <c r="A11316" i="3"/>
  <c r="A11315" i="3"/>
  <c r="A11314" i="3"/>
  <c r="A11313" i="3"/>
  <c r="A11312" i="3"/>
  <c r="A11311" i="3"/>
  <c r="A11310" i="3"/>
  <c r="A11309" i="3"/>
  <c r="A11308" i="3"/>
  <c r="A11307" i="3"/>
  <c r="A11306" i="3"/>
  <c r="A11305" i="3"/>
  <c r="A11304" i="3"/>
  <c r="A11303" i="3"/>
  <c r="A11302" i="3"/>
  <c r="A11301" i="3"/>
  <c r="A11300" i="3"/>
  <c r="A11299" i="3"/>
  <c r="A11298" i="3"/>
  <c r="A11297" i="3"/>
  <c r="A11296" i="3"/>
  <c r="A11295" i="3"/>
  <c r="A11294" i="3"/>
  <c r="A11293" i="3"/>
  <c r="A11292" i="3"/>
  <c r="A11291" i="3"/>
  <c r="A11290" i="3"/>
  <c r="A11289" i="3"/>
  <c r="A11288" i="3"/>
  <c r="A11287" i="3"/>
  <c r="A11286" i="3"/>
  <c r="A11285" i="3"/>
  <c r="A11284" i="3"/>
  <c r="A11283" i="3"/>
  <c r="A11282" i="3"/>
  <c r="A11281" i="3"/>
  <c r="A11280" i="3"/>
  <c r="A11279" i="3"/>
  <c r="A11278" i="3"/>
  <c r="A11277" i="3"/>
  <c r="A11276" i="3"/>
  <c r="A11275" i="3"/>
  <c r="A11274" i="3"/>
  <c r="A11273" i="3"/>
  <c r="A11272" i="3"/>
  <c r="A11271" i="3"/>
  <c r="A11270" i="3"/>
  <c r="A11269" i="3"/>
  <c r="A11268" i="3"/>
  <c r="A11267" i="3"/>
  <c r="A11266" i="3"/>
  <c r="A11265" i="3"/>
  <c r="A11264" i="3"/>
  <c r="A11263" i="3"/>
  <c r="A11262" i="3"/>
  <c r="A11261" i="3"/>
  <c r="A11260" i="3"/>
  <c r="A11259" i="3"/>
  <c r="A11258" i="3"/>
  <c r="A11257" i="3"/>
  <c r="A11256" i="3"/>
  <c r="A11255" i="3"/>
  <c r="A11254" i="3"/>
  <c r="A11253" i="3"/>
  <c r="A11252" i="3"/>
  <c r="A11251" i="3"/>
  <c r="A11250" i="3"/>
  <c r="A11249" i="3"/>
  <c r="A11248" i="3"/>
  <c r="A11247" i="3"/>
  <c r="A11246" i="3"/>
  <c r="A11245" i="3"/>
  <c r="A11244" i="3"/>
  <c r="A11243" i="3"/>
  <c r="A11242" i="3"/>
  <c r="A11241" i="3"/>
  <c r="A11240" i="3"/>
  <c r="A11239" i="3"/>
  <c r="A11238" i="3"/>
  <c r="A11237" i="3"/>
  <c r="A11236" i="3"/>
  <c r="A11235" i="3"/>
  <c r="A11234" i="3"/>
  <c r="A11233" i="3"/>
  <c r="A11232" i="3"/>
  <c r="A11231" i="3"/>
  <c r="A11230" i="3"/>
  <c r="A11229" i="3"/>
  <c r="A11228" i="3"/>
  <c r="A11227" i="3"/>
  <c r="A11226" i="3"/>
  <c r="A11225" i="3"/>
  <c r="A11224" i="3"/>
  <c r="A11223" i="3"/>
  <c r="A11222" i="3"/>
  <c r="A11221" i="3"/>
  <c r="A11220" i="3"/>
  <c r="A11219" i="3"/>
  <c r="A11218" i="3"/>
  <c r="A11217" i="3"/>
  <c r="A11216" i="3"/>
  <c r="A11215" i="3"/>
  <c r="A11214" i="3"/>
  <c r="A11213" i="3"/>
  <c r="A11212" i="3"/>
  <c r="A11211" i="3"/>
  <c r="A11210" i="3"/>
  <c r="A11209" i="3"/>
  <c r="A11208" i="3"/>
  <c r="A11207" i="3"/>
  <c r="A11206" i="3"/>
  <c r="A11205" i="3"/>
  <c r="A11204" i="3"/>
  <c r="A11203" i="3"/>
  <c r="A11202" i="3"/>
  <c r="A11201" i="3"/>
  <c r="A11200" i="3"/>
  <c r="A11199" i="3"/>
  <c r="A11198" i="3"/>
  <c r="A11197" i="3"/>
  <c r="A11196" i="3"/>
  <c r="A11195" i="3"/>
  <c r="A11194" i="3"/>
  <c r="A11193" i="3"/>
  <c r="A11192" i="3"/>
  <c r="A11191" i="3"/>
  <c r="A11190" i="3"/>
  <c r="A11189" i="3"/>
  <c r="A11188" i="3"/>
  <c r="A11187" i="3"/>
  <c r="A11186" i="3"/>
  <c r="A11185" i="3"/>
  <c r="A11184" i="3"/>
  <c r="A11183" i="3"/>
  <c r="A11182" i="3"/>
  <c r="A11181" i="3"/>
  <c r="A11180" i="3"/>
  <c r="A11179" i="3"/>
  <c r="A11178" i="3"/>
  <c r="A11177" i="3"/>
  <c r="A11176" i="3"/>
  <c r="A11175" i="3"/>
  <c r="A11174" i="3"/>
  <c r="A11173" i="3"/>
  <c r="A11172" i="3"/>
  <c r="A11171" i="3"/>
  <c r="A11170" i="3"/>
  <c r="A11169" i="3"/>
  <c r="A11168" i="3"/>
  <c r="A11167" i="3"/>
  <c r="A11166" i="3"/>
  <c r="A11165" i="3"/>
  <c r="A11164" i="3"/>
  <c r="A11163" i="3"/>
  <c r="A11162" i="3"/>
  <c r="A11161" i="3"/>
  <c r="A11160" i="3"/>
  <c r="A11159" i="3"/>
  <c r="A11158" i="3"/>
  <c r="A11157" i="3"/>
  <c r="A11156" i="3"/>
  <c r="A11155" i="3"/>
  <c r="A11154" i="3"/>
  <c r="A11153" i="3"/>
  <c r="A11152" i="3"/>
  <c r="A11151" i="3"/>
  <c r="A11150" i="3"/>
  <c r="A11149" i="3"/>
  <c r="A11148" i="3"/>
  <c r="A11147" i="3"/>
  <c r="A11146" i="3"/>
  <c r="A11145" i="3"/>
  <c r="A11144" i="3"/>
  <c r="A11143" i="3"/>
  <c r="A11142" i="3"/>
  <c r="A11141" i="3"/>
  <c r="A11140" i="3"/>
  <c r="A11139" i="3"/>
  <c r="A11138" i="3"/>
  <c r="A11137" i="3"/>
  <c r="A11136" i="3"/>
  <c r="A11135" i="3"/>
  <c r="A11134" i="3"/>
  <c r="A11133" i="3"/>
  <c r="A11132" i="3"/>
  <c r="A11131" i="3"/>
  <c r="A11130" i="3"/>
  <c r="A11129" i="3"/>
  <c r="A11128" i="3"/>
  <c r="A11127" i="3"/>
  <c r="A11126" i="3"/>
  <c r="A11125" i="3"/>
  <c r="A11124" i="3"/>
  <c r="A11123" i="3"/>
  <c r="A11122" i="3"/>
  <c r="A11121" i="3"/>
  <c r="A11120" i="3"/>
  <c r="A11119" i="3"/>
  <c r="A11118" i="3"/>
  <c r="A11117" i="3"/>
  <c r="A11116" i="3"/>
  <c r="A11115" i="3"/>
  <c r="A11114" i="3"/>
  <c r="A11113" i="3"/>
  <c r="A11112" i="3"/>
  <c r="A11111" i="3"/>
  <c r="A11110" i="3"/>
  <c r="A11109" i="3"/>
  <c r="A11108" i="3"/>
  <c r="A11107" i="3"/>
  <c r="A11106" i="3"/>
  <c r="A11105" i="3"/>
  <c r="A11104" i="3"/>
  <c r="A11103" i="3"/>
  <c r="A11102" i="3"/>
  <c r="A11101" i="3"/>
  <c r="A11100" i="3"/>
  <c r="A11099" i="3"/>
  <c r="A11098" i="3"/>
  <c r="A11097" i="3"/>
  <c r="A11096" i="3"/>
  <c r="A11095" i="3"/>
  <c r="A11094" i="3"/>
  <c r="A11093" i="3"/>
  <c r="A11092" i="3"/>
  <c r="A11091" i="3"/>
  <c r="A11090" i="3"/>
  <c r="A11089" i="3"/>
  <c r="A11088" i="3"/>
  <c r="A11087" i="3"/>
  <c r="A11086" i="3"/>
  <c r="A11085" i="3"/>
  <c r="A11084" i="3"/>
  <c r="A11083" i="3"/>
  <c r="A11082" i="3"/>
  <c r="A11081" i="3"/>
  <c r="A11080" i="3"/>
  <c r="A11079" i="3"/>
  <c r="A11078" i="3"/>
  <c r="A11077" i="3"/>
  <c r="A11076" i="3"/>
  <c r="A11075" i="3"/>
  <c r="A11074" i="3"/>
  <c r="A11073" i="3"/>
  <c r="A11072" i="3"/>
  <c r="A11071" i="3"/>
  <c r="A11070" i="3"/>
  <c r="A11069" i="3"/>
  <c r="A11068" i="3"/>
  <c r="A11067" i="3"/>
  <c r="A11066" i="3"/>
  <c r="A11065" i="3"/>
  <c r="A11064" i="3"/>
  <c r="A11063" i="3"/>
  <c r="A11062" i="3"/>
  <c r="A11061" i="3"/>
  <c r="A11060" i="3"/>
  <c r="A11059" i="3"/>
  <c r="A11058" i="3"/>
  <c r="A11057" i="3"/>
  <c r="A11056" i="3"/>
  <c r="A11055" i="3"/>
  <c r="A11054" i="3"/>
  <c r="A11053" i="3"/>
  <c r="A11052" i="3"/>
  <c r="A11051" i="3"/>
  <c r="A11050" i="3"/>
  <c r="A11049" i="3"/>
  <c r="A11048" i="3"/>
  <c r="A11047" i="3"/>
  <c r="A11046" i="3"/>
  <c r="A11045" i="3"/>
  <c r="A11044" i="3"/>
  <c r="A11043" i="3"/>
  <c r="A11042" i="3"/>
  <c r="A11041" i="3"/>
  <c r="A11040" i="3"/>
  <c r="A11039" i="3"/>
  <c r="A11038" i="3"/>
  <c r="A11037" i="3"/>
  <c r="A11036" i="3"/>
  <c r="A11035" i="3"/>
  <c r="A11034" i="3"/>
  <c r="A11033" i="3"/>
  <c r="A11032" i="3"/>
  <c r="A11031" i="3"/>
  <c r="A11030" i="3"/>
  <c r="A11029" i="3"/>
  <c r="A11028" i="3"/>
  <c r="A11027" i="3"/>
  <c r="A11026" i="3"/>
  <c r="A11025" i="3"/>
  <c r="A11024" i="3"/>
  <c r="A11023" i="3"/>
  <c r="A11022" i="3"/>
  <c r="A11021" i="3"/>
  <c r="A11020" i="3"/>
  <c r="A11019" i="3"/>
  <c r="A11018" i="3"/>
  <c r="A11017" i="3"/>
  <c r="A11016" i="3"/>
  <c r="A11015" i="3"/>
  <c r="A11014" i="3"/>
  <c r="A11013" i="3"/>
  <c r="A11012" i="3"/>
  <c r="A11011" i="3"/>
  <c r="A11010" i="3"/>
  <c r="A11009" i="3"/>
  <c r="A11008" i="3"/>
  <c r="A11007" i="3"/>
  <c r="A11006" i="3"/>
  <c r="A11005" i="3"/>
  <c r="A11004" i="3"/>
  <c r="A11003" i="3"/>
  <c r="A11002" i="3"/>
  <c r="A11001" i="3"/>
  <c r="A11000" i="3"/>
  <c r="A10999" i="3"/>
  <c r="A10998" i="3"/>
  <c r="A10997" i="3"/>
  <c r="A10996" i="3"/>
  <c r="A10995" i="3"/>
  <c r="A10994" i="3"/>
  <c r="A10993" i="3"/>
  <c r="A10992" i="3"/>
  <c r="A10991" i="3"/>
  <c r="A10990" i="3"/>
  <c r="A10989" i="3"/>
  <c r="A10988" i="3"/>
  <c r="A10987" i="3"/>
  <c r="A10986" i="3"/>
  <c r="A10985" i="3"/>
  <c r="A10984" i="3"/>
  <c r="A10983" i="3"/>
  <c r="A10982" i="3"/>
  <c r="A10981" i="3"/>
  <c r="A10980" i="3"/>
  <c r="A10979" i="3"/>
  <c r="A10978" i="3"/>
  <c r="A10977" i="3"/>
  <c r="A10976" i="3"/>
  <c r="A10975" i="3"/>
  <c r="A10974" i="3"/>
  <c r="A10973" i="3"/>
  <c r="A10972" i="3"/>
  <c r="A10971" i="3"/>
  <c r="A10970" i="3"/>
  <c r="A10969" i="3"/>
  <c r="A10968" i="3"/>
  <c r="A10967" i="3"/>
  <c r="A10966" i="3"/>
  <c r="A10965" i="3"/>
  <c r="A10964" i="3"/>
  <c r="A10963" i="3"/>
  <c r="A10962" i="3"/>
  <c r="A10961" i="3"/>
  <c r="A10960" i="3"/>
  <c r="A10959" i="3"/>
  <c r="A10958" i="3"/>
  <c r="A10957" i="3"/>
  <c r="A10956" i="3"/>
  <c r="A10955" i="3"/>
  <c r="A10954" i="3"/>
  <c r="A10953" i="3"/>
  <c r="A10952" i="3"/>
  <c r="A10951" i="3"/>
  <c r="A10950" i="3"/>
  <c r="A10949" i="3"/>
  <c r="A10948" i="3"/>
  <c r="A10947" i="3"/>
  <c r="A10946" i="3"/>
  <c r="A10945" i="3"/>
  <c r="A10944" i="3"/>
  <c r="A10943" i="3"/>
  <c r="A10942" i="3"/>
  <c r="A10941" i="3"/>
  <c r="A10940" i="3"/>
  <c r="A10939" i="3"/>
  <c r="A10938" i="3"/>
  <c r="A10937" i="3"/>
  <c r="A10936" i="3"/>
  <c r="A10935" i="3"/>
  <c r="A10934" i="3"/>
  <c r="A10933" i="3"/>
  <c r="A10932" i="3"/>
  <c r="A10931" i="3"/>
  <c r="A10930" i="3"/>
  <c r="A10929" i="3"/>
  <c r="A10928" i="3"/>
  <c r="A10927" i="3"/>
  <c r="A10926" i="3"/>
  <c r="A10925" i="3"/>
  <c r="A10924" i="3"/>
  <c r="A10923" i="3"/>
  <c r="A10922" i="3"/>
  <c r="A10921" i="3"/>
  <c r="A10920" i="3"/>
  <c r="A10919" i="3"/>
  <c r="A10918" i="3"/>
  <c r="A10917" i="3"/>
  <c r="A10916" i="3"/>
  <c r="A10915" i="3"/>
  <c r="A10914" i="3"/>
  <c r="A10913" i="3"/>
  <c r="A10912" i="3"/>
  <c r="A10911" i="3"/>
  <c r="A10910" i="3"/>
  <c r="A10909" i="3"/>
  <c r="A10908" i="3"/>
  <c r="A10907" i="3"/>
  <c r="A10906" i="3"/>
  <c r="A10905" i="3"/>
  <c r="A10904" i="3"/>
  <c r="A10903" i="3"/>
  <c r="A10902" i="3"/>
  <c r="A10901" i="3"/>
  <c r="A10900" i="3"/>
  <c r="A10899" i="3"/>
  <c r="A10898" i="3"/>
  <c r="A10897" i="3"/>
  <c r="A10896" i="3"/>
  <c r="A10895" i="3"/>
  <c r="A10894" i="3"/>
  <c r="A10893" i="3"/>
  <c r="A10892" i="3"/>
  <c r="A10891" i="3"/>
  <c r="A10890" i="3"/>
  <c r="A10889" i="3"/>
  <c r="A10888" i="3"/>
  <c r="A10887" i="3"/>
  <c r="A10886" i="3"/>
  <c r="A10885" i="3"/>
  <c r="A10884" i="3"/>
  <c r="A10883" i="3"/>
  <c r="A10882" i="3"/>
  <c r="A10881" i="3"/>
  <c r="A10880" i="3"/>
  <c r="A10879" i="3"/>
  <c r="A10878" i="3"/>
  <c r="A10877" i="3"/>
  <c r="A10876" i="3"/>
  <c r="A10875" i="3"/>
  <c r="A10874" i="3"/>
  <c r="A10873" i="3"/>
  <c r="A10872" i="3"/>
  <c r="A10871" i="3"/>
  <c r="A10870" i="3"/>
  <c r="A10869" i="3"/>
  <c r="A10868" i="3"/>
  <c r="A10867" i="3"/>
  <c r="A10866" i="3"/>
  <c r="A10865" i="3"/>
  <c r="A10864" i="3"/>
  <c r="A10863" i="3"/>
  <c r="A10862" i="3"/>
  <c r="A10861" i="3"/>
  <c r="A10860" i="3"/>
  <c r="A10859" i="3"/>
  <c r="A10858" i="3"/>
  <c r="A10857" i="3"/>
  <c r="A10856" i="3"/>
  <c r="A10855" i="3"/>
  <c r="A10854" i="3"/>
  <c r="A10853" i="3"/>
  <c r="A10852" i="3"/>
  <c r="A10851" i="3"/>
  <c r="A10850" i="3"/>
  <c r="A10849" i="3"/>
  <c r="A10848" i="3"/>
  <c r="A10847" i="3"/>
  <c r="A10846" i="3"/>
  <c r="A10845" i="3"/>
  <c r="A10844" i="3"/>
  <c r="A10843" i="3"/>
  <c r="A10842" i="3"/>
  <c r="A10841" i="3"/>
  <c r="A10840" i="3"/>
  <c r="A10839" i="3"/>
  <c r="A10838" i="3"/>
  <c r="A10837" i="3"/>
  <c r="A10836" i="3"/>
  <c r="A10835" i="3"/>
  <c r="A10834" i="3"/>
  <c r="A10833" i="3"/>
  <c r="A10832" i="3"/>
  <c r="A10831" i="3"/>
  <c r="A10830" i="3"/>
  <c r="A10829" i="3"/>
  <c r="A10828" i="3"/>
  <c r="A10827" i="3"/>
  <c r="A10826" i="3"/>
  <c r="A10825" i="3"/>
  <c r="A10824" i="3"/>
  <c r="A10823" i="3"/>
  <c r="A10822" i="3"/>
  <c r="A10821" i="3"/>
  <c r="A10820" i="3"/>
  <c r="A10819" i="3"/>
  <c r="A10818" i="3"/>
  <c r="A10817" i="3"/>
  <c r="A10816" i="3"/>
  <c r="A10815" i="3"/>
  <c r="A10814" i="3"/>
  <c r="A10813" i="3"/>
  <c r="A10812" i="3"/>
  <c r="A10811" i="3"/>
  <c r="A10810" i="3"/>
  <c r="A10809" i="3"/>
  <c r="A10808" i="3"/>
  <c r="A10807" i="3"/>
  <c r="A10806" i="3"/>
  <c r="A10805" i="3"/>
  <c r="A10804" i="3"/>
  <c r="A10803" i="3"/>
  <c r="A10802" i="3"/>
  <c r="A10801" i="3"/>
  <c r="A10800" i="3"/>
  <c r="A10799" i="3"/>
  <c r="A10798" i="3"/>
  <c r="A10797" i="3"/>
  <c r="A10796" i="3"/>
  <c r="A10795" i="3"/>
  <c r="A10794" i="3"/>
  <c r="A10793" i="3"/>
  <c r="A10792" i="3"/>
  <c r="A10791" i="3"/>
  <c r="A10790" i="3"/>
  <c r="A10789" i="3"/>
  <c r="A10788" i="3"/>
  <c r="A10787" i="3"/>
  <c r="A10786" i="3"/>
  <c r="A10785" i="3"/>
  <c r="A10784" i="3"/>
  <c r="A10783" i="3"/>
  <c r="A10782" i="3"/>
  <c r="A10781" i="3"/>
  <c r="A10780" i="3"/>
  <c r="A10779" i="3"/>
  <c r="A10778" i="3"/>
  <c r="A10777" i="3"/>
  <c r="A10776" i="3"/>
  <c r="A10775" i="3"/>
  <c r="A10774" i="3"/>
  <c r="A10773" i="3"/>
  <c r="A10772" i="3"/>
  <c r="A10771" i="3"/>
  <c r="A10770" i="3"/>
  <c r="A10769" i="3"/>
  <c r="A10768" i="3"/>
  <c r="A10767" i="3"/>
  <c r="A10766" i="3"/>
  <c r="A10765" i="3"/>
  <c r="A10764" i="3"/>
  <c r="A10763" i="3"/>
  <c r="A10762" i="3"/>
  <c r="A10761" i="3"/>
  <c r="A10760" i="3"/>
  <c r="A10759" i="3"/>
  <c r="A10758" i="3"/>
  <c r="A10757" i="3"/>
  <c r="A10756" i="3"/>
  <c r="A10755" i="3"/>
  <c r="A10754" i="3"/>
  <c r="A10753" i="3"/>
  <c r="A10752" i="3"/>
  <c r="A10751" i="3"/>
  <c r="A10750" i="3"/>
  <c r="A10749" i="3"/>
  <c r="A10748" i="3"/>
  <c r="A10747" i="3"/>
  <c r="A10746" i="3"/>
  <c r="A10745" i="3"/>
  <c r="A10744" i="3"/>
  <c r="A10743" i="3"/>
  <c r="A10742" i="3"/>
  <c r="A10741" i="3"/>
  <c r="A10740" i="3"/>
  <c r="A10739" i="3"/>
  <c r="A10738" i="3"/>
  <c r="A10737" i="3"/>
  <c r="A10736" i="3"/>
  <c r="A10735" i="3"/>
  <c r="A10734" i="3"/>
  <c r="A10733" i="3"/>
  <c r="A10732" i="3"/>
  <c r="A10731" i="3"/>
  <c r="A10730" i="3"/>
  <c r="A10729" i="3"/>
  <c r="A10728" i="3"/>
  <c r="A10727" i="3"/>
  <c r="A10726" i="3"/>
  <c r="A10725" i="3"/>
  <c r="A10724" i="3"/>
  <c r="A10723" i="3"/>
  <c r="A10722" i="3"/>
  <c r="A10721" i="3"/>
  <c r="A10720" i="3"/>
  <c r="A10719" i="3"/>
  <c r="A10718" i="3"/>
  <c r="A10717" i="3"/>
  <c r="A10716" i="3"/>
  <c r="A10715" i="3"/>
  <c r="A10714" i="3"/>
  <c r="A10713" i="3"/>
  <c r="A10712" i="3"/>
  <c r="A10711" i="3"/>
  <c r="A10710" i="3"/>
  <c r="A10709" i="3"/>
  <c r="A10708" i="3"/>
  <c r="A10707" i="3"/>
  <c r="A10706" i="3"/>
  <c r="A10705" i="3"/>
  <c r="A10704" i="3"/>
  <c r="A10703" i="3"/>
  <c r="A10702" i="3"/>
  <c r="A10701" i="3"/>
  <c r="A10700" i="3"/>
  <c r="A10699" i="3"/>
  <c r="A10698" i="3"/>
  <c r="A10697" i="3"/>
  <c r="A10696" i="3"/>
  <c r="A10695" i="3"/>
  <c r="A10694" i="3"/>
  <c r="A10693" i="3"/>
  <c r="A10692" i="3"/>
  <c r="A10691" i="3"/>
  <c r="A10690" i="3"/>
  <c r="A10689" i="3"/>
  <c r="A10688" i="3"/>
  <c r="A10687" i="3"/>
  <c r="A10686" i="3"/>
  <c r="A10685" i="3"/>
  <c r="A10684" i="3"/>
  <c r="A10683" i="3"/>
  <c r="A10682" i="3"/>
  <c r="A10681" i="3"/>
  <c r="A10680" i="3"/>
  <c r="A10679" i="3"/>
  <c r="A10678" i="3"/>
  <c r="A10677" i="3"/>
  <c r="A10676" i="3"/>
  <c r="A10675" i="3"/>
  <c r="A10674" i="3"/>
  <c r="A10673" i="3"/>
  <c r="A10672" i="3"/>
  <c r="A10671" i="3"/>
  <c r="A10670" i="3"/>
  <c r="A10669" i="3"/>
  <c r="A10668" i="3"/>
  <c r="A10667" i="3"/>
  <c r="A10666" i="3"/>
  <c r="A10665" i="3"/>
  <c r="A10664" i="3"/>
  <c r="A10663" i="3"/>
  <c r="A10662" i="3"/>
  <c r="A10661" i="3"/>
  <c r="A10660" i="3"/>
  <c r="A10659" i="3"/>
  <c r="A10658" i="3"/>
  <c r="A10657" i="3"/>
  <c r="A10656" i="3"/>
  <c r="A10655" i="3"/>
  <c r="A10654" i="3"/>
  <c r="A10653" i="3"/>
  <c r="A10652" i="3"/>
  <c r="A10651" i="3"/>
  <c r="A10650" i="3"/>
  <c r="A10649" i="3"/>
  <c r="A10648" i="3"/>
  <c r="A10647" i="3"/>
  <c r="A10646" i="3"/>
  <c r="A10645" i="3"/>
  <c r="A10644" i="3"/>
  <c r="A10643" i="3"/>
  <c r="A10642" i="3"/>
  <c r="A10641" i="3"/>
  <c r="A10640" i="3"/>
  <c r="A10639" i="3"/>
  <c r="A10638" i="3"/>
  <c r="A10637" i="3"/>
  <c r="A10636" i="3"/>
  <c r="A10635" i="3"/>
  <c r="A10634" i="3"/>
  <c r="A10633" i="3"/>
  <c r="A10632" i="3"/>
  <c r="A10631" i="3"/>
  <c r="A10630" i="3"/>
  <c r="A10629" i="3"/>
  <c r="A10628" i="3"/>
  <c r="A10627" i="3"/>
  <c r="A10626" i="3"/>
  <c r="A10625" i="3"/>
  <c r="A10624" i="3"/>
  <c r="A10623" i="3"/>
  <c r="A10622" i="3"/>
  <c r="A10621" i="3"/>
  <c r="A10620" i="3"/>
  <c r="A10619" i="3"/>
  <c r="A10618" i="3"/>
  <c r="A10617" i="3"/>
  <c r="A10616" i="3"/>
  <c r="A10615" i="3"/>
  <c r="A10614" i="3"/>
  <c r="A10613" i="3"/>
  <c r="A10612" i="3"/>
  <c r="A10611" i="3"/>
  <c r="A10610" i="3"/>
  <c r="A10609" i="3"/>
  <c r="A10608" i="3"/>
  <c r="A10607" i="3"/>
  <c r="A10606" i="3"/>
  <c r="A10605" i="3"/>
  <c r="A10604" i="3"/>
  <c r="A10603" i="3"/>
  <c r="A10602" i="3"/>
  <c r="A10601" i="3"/>
  <c r="A10600" i="3"/>
  <c r="A10599" i="3"/>
  <c r="A10598" i="3"/>
  <c r="A10597" i="3"/>
  <c r="A10596" i="3"/>
  <c r="A10595" i="3"/>
  <c r="A10594" i="3"/>
  <c r="A10593" i="3"/>
  <c r="A10592" i="3"/>
  <c r="A10591" i="3"/>
  <c r="A10590" i="3"/>
  <c r="A10589" i="3"/>
  <c r="A10588" i="3"/>
  <c r="A10587" i="3"/>
  <c r="A10586" i="3"/>
  <c r="A10585" i="3"/>
  <c r="A10584" i="3"/>
  <c r="A10583" i="3"/>
  <c r="A10582" i="3"/>
  <c r="A10581" i="3"/>
  <c r="A10580" i="3"/>
  <c r="A10579" i="3"/>
  <c r="A10578" i="3"/>
  <c r="A10577" i="3"/>
  <c r="A10576" i="3"/>
  <c r="A10575" i="3"/>
  <c r="A10574" i="3"/>
  <c r="A10573" i="3"/>
  <c r="A10572" i="3"/>
  <c r="A10571" i="3"/>
  <c r="A10570" i="3"/>
  <c r="A10569" i="3"/>
  <c r="A10568" i="3"/>
  <c r="A10567" i="3"/>
  <c r="A10566" i="3"/>
  <c r="A10565" i="3"/>
  <c r="A10564" i="3"/>
  <c r="A10563" i="3"/>
  <c r="A10562" i="3"/>
  <c r="A10561" i="3"/>
  <c r="A10560" i="3"/>
  <c r="A10559" i="3"/>
  <c r="A10558" i="3"/>
  <c r="A10557" i="3"/>
  <c r="A10556" i="3"/>
  <c r="A10555" i="3"/>
  <c r="A10554" i="3"/>
  <c r="A10553" i="3"/>
  <c r="A10552" i="3"/>
  <c r="A10551" i="3"/>
  <c r="A10550" i="3"/>
  <c r="A10549" i="3"/>
  <c r="A10548" i="3"/>
  <c r="A10547" i="3"/>
  <c r="A10546" i="3"/>
  <c r="A10545" i="3"/>
  <c r="A10544" i="3"/>
  <c r="A10543" i="3"/>
  <c r="A10542" i="3"/>
  <c r="A10541" i="3"/>
  <c r="A10540" i="3"/>
  <c r="A10539" i="3"/>
  <c r="A10538" i="3"/>
  <c r="A10537" i="3"/>
  <c r="A10536" i="3"/>
  <c r="A10535" i="3"/>
  <c r="A10534" i="3"/>
  <c r="A10533" i="3"/>
  <c r="A10532" i="3"/>
  <c r="A10531" i="3"/>
  <c r="A10530" i="3"/>
  <c r="A10529" i="3"/>
  <c r="A10528" i="3"/>
  <c r="A10527" i="3"/>
  <c r="A10526" i="3"/>
  <c r="A10525" i="3"/>
  <c r="A10524" i="3"/>
  <c r="A10523" i="3"/>
  <c r="A10522" i="3"/>
  <c r="A10521" i="3"/>
  <c r="A10520" i="3"/>
  <c r="A10519" i="3"/>
  <c r="A10518" i="3"/>
  <c r="A10517" i="3"/>
  <c r="A10516" i="3"/>
  <c r="A10515" i="3"/>
  <c r="A10514" i="3"/>
  <c r="A10513" i="3"/>
  <c r="A10512" i="3"/>
  <c r="A10511" i="3"/>
  <c r="A10510" i="3"/>
  <c r="A10509" i="3"/>
  <c r="A10508" i="3"/>
  <c r="A10507" i="3"/>
  <c r="A10506" i="3"/>
  <c r="A10505" i="3"/>
  <c r="A10504" i="3"/>
  <c r="A10503" i="3"/>
  <c r="A10502" i="3"/>
  <c r="A10501" i="3"/>
  <c r="A10500" i="3"/>
  <c r="A10499" i="3"/>
  <c r="A10498" i="3"/>
  <c r="A10497" i="3"/>
  <c r="A10496" i="3"/>
  <c r="A10495" i="3"/>
  <c r="A10494" i="3"/>
  <c r="A10493" i="3"/>
  <c r="A10492" i="3"/>
  <c r="A10491" i="3"/>
  <c r="A10490" i="3"/>
  <c r="A10489" i="3"/>
  <c r="A10488" i="3"/>
  <c r="A10487" i="3"/>
  <c r="A10486" i="3"/>
  <c r="A10485" i="3"/>
  <c r="A10484" i="3"/>
  <c r="A10483" i="3"/>
  <c r="A10482" i="3"/>
  <c r="A10481" i="3"/>
  <c r="A10480" i="3"/>
  <c r="A10479" i="3"/>
  <c r="A10478" i="3"/>
  <c r="A10477" i="3"/>
  <c r="A10476" i="3"/>
  <c r="A10475" i="3"/>
  <c r="A10474" i="3"/>
  <c r="A10473" i="3"/>
  <c r="A10472" i="3"/>
  <c r="A10471" i="3"/>
  <c r="A10470" i="3"/>
  <c r="A10469" i="3"/>
  <c r="A10468" i="3"/>
  <c r="A10467" i="3"/>
  <c r="A10466" i="3"/>
  <c r="A10465" i="3"/>
  <c r="A10464" i="3"/>
  <c r="A10463" i="3"/>
  <c r="A10462" i="3"/>
  <c r="A10461" i="3"/>
  <c r="A10460" i="3"/>
  <c r="A10459" i="3"/>
  <c r="A10458" i="3"/>
  <c r="A10457" i="3"/>
  <c r="A10456" i="3"/>
  <c r="A10455" i="3"/>
  <c r="A10454" i="3"/>
  <c r="A10453" i="3"/>
  <c r="A10452" i="3"/>
  <c r="A10451" i="3"/>
  <c r="A10450" i="3"/>
  <c r="A10449" i="3"/>
  <c r="A10448" i="3"/>
  <c r="A10447" i="3"/>
  <c r="A10446" i="3"/>
  <c r="A10445" i="3"/>
  <c r="A10444" i="3"/>
  <c r="A10443" i="3"/>
  <c r="A10442" i="3"/>
  <c r="A10441" i="3"/>
  <c r="A10440" i="3"/>
  <c r="A10439" i="3"/>
  <c r="A10438" i="3"/>
  <c r="A10437" i="3"/>
  <c r="A10436" i="3"/>
  <c r="A10435" i="3"/>
  <c r="A10434" i="3"/>
  <c r="A10433" i="3"/>
  <c r="A10432" i="3"/>
  <c r="A10431" i="3"/>
  <c r="A10430" i="3"/>
  <c r="A10429" i="3"/>
  <c r="A10428" i="3"/>
  <c r="A10427" i="3"/>
  <c r="A10426" i="3"/>
  <c r="A10425" i="3"/>
  <c r="A10424" i="3"/>
  <c r="A10423" i="3"/>
  <c r="A10422" i="3"/>
  <c r="A10421" i="3"/>
  <c r="A10420" i="3"/>
  <c r="A10419" i="3"/>
  <c r="A10418" i="3"/>
  <c r="A10417" i="3"/>
  <c r="A10416" i="3"/>
  <c r="A10415" i="3"/>
  <c r="A10414" i="3"/>
  <c r="A10413" i="3"/>
  <c r="A10412" i="3"/>
  <c r="A10411" i="3"/>
  <c r="A10410" i="3"/>
  <c r="A10409" i="3"/>
  <c r="A10408" i="3"/>
  <c r="A10407" i="3"/>
  <c r="A10406" i="3"/>
  <c r="A10405" i="3"/>
  <c r="A10404" i="3"/>
  <c r="A10403" i="3"/>
  <c r="A10402" i="3"/>
  <c r="A10401" i="3"/>
  <c r="A10400" i="3"/>
  <c r="A10399" i="3"/>
  <c r="A10398" i="3"/>
  <c r="A10397" i="3"/>
  <c r="A10396" i="3"/>
  <c r="A10395" i="3"/>
  <c r="A10394" i="3"/>
  <c r="A10393" i="3"/>
  <c r="A10392" i="3"/>
  <c r="A10391" i="3"/>
  <c r="A10390" i="3"/>
  <c r="A10389" i="3"/>
  <c r="A10388" i="3"/>
  <c r="A10387" i="3"/>
  <c r="A10386" i="3"/>
  <c r="A10385" i="3"/>
  <c r="A10384" i="3"/>
  <c r="A10383" i="3"/>
  <c r="A10382" i="3"/>
  <c r="A10381" i="3"/>
  <c r="A10380" i="3"/>
  <c r="A10379" i="3"/>
  <c r="A10378" i="3"/>
  <c r="A10377" i="3"/>
  <c r="A10376" i="3"/>
  <c r="A10375" i="3"/>
  <c r="A10374" i="3"/>
  <c r="A10373" i="3"/>
  <c r="A10372" i="3"/>
  <c r="A10371" i="3"/>
  <c r="A10370" i="3"/>
  <c r="A10369" i="3"/>
  <c r="A10368" i="3"/>
  <c r="A10367" i="3"/>
  <c r="A10366" i="3"/>
  <c r="A10365" i="3"/>
  <c r="A10364" i="3"/>
  <c r="A10363" i="3"/>
  <c r="A10362" i="3"/>
  <c r="A10361" i="3"/>
  <c r="A10360" i="3"/>
  <c r="A10359" i="3"/>
  <c r="A10358" i="3"/>
  <c r="A10357" i="3"/>
  <c r="A10356" i="3"/>
  <c r="A10355" i="3"/>
  <c r="A10354" i="3"/>
  <c r="A10353" i="3"/>
  <c r="A10352" i="3"/>
  <c r="A10351" i="3"/>
  <c r="A10350" i="3"/>
  <c r="A10349" i="3"/>
  <c r="A10348" i="3"/>
  <c r="A10347" i="3"/>
  <c r="A10346" i="3"/>
  <c r="A10345" i="3"/>
  <c r="A10344" i="3"/>
  <c r="A10343" i="3"/>
  <c r="A10342" i="3"/>
  <c r="A10341" i="3"/>
  <c r="A10340" i="3"/>
  <c r="A10339" i="3"/>
  <c r="A10338" i="3"/>
  <c r="A10337" i="3"/>
  <c r="A10336" i="3"/>
  <c r="A10335" i="3"/>
  <c r="A10334" i="3"/>
  <c r="A10333" i="3"/>
  <c r="A10332" i="3"/>
  <c r="A10331" i="3"/>
  <c r="A10330" i="3"/>
  <c r="A10329" i="3"/>
  <c r="A10328" i="3"/>
  <c r="A10327" i="3"/>
  <c r="A10326" i="3"/>
  <c r="A10325" i="3"/>
  <c r="A10324" i="3"/>
  <c r="A10323" i="3"/>
  <c r="A10322" i="3"/>
  <c r="A10321" i="3"/>
  <c r="A10320" i="3"/>
  <c r="A10319" i="3"/>
  <c r="A10318" i="3"/>
  <c r="A10317" i="3"/>
  <c r="A10316" i="3"/>
  <c r="A10315" i="3"/>
  <c r="A10314" i="3"/>
  <c r="A10313" i="3"/>
  <c r="A10312" i="3"/>
  <c r="A10311" i="3"/>
  <c r="A10310" i="3"/>
  <c r="A10309" i="3"/>
  <c r="A10308" i="3"/>
  <c r="A10307" i="3"/>
  <c r="A10306" i="3"/>
  <c r="A10305" i="3"/>
  <c r="A10304" i="3"/>
  <c r="A10303" i="3"/>
  <c r="A10302" i="3"/>
  <c r="A10301" i="3"/>
  <c r="A10300" i="3"/>
  <c r="A10299" i="3"/>
  <c r="A10298" i="3"/>
  <c r="A10297" i="3"/>
  <c r="A10296" i="3"/>
  <c r="A10295" i="3"/>
  <c r="A10294" i="3"/>
  <c r="A10293" i="3"/>
  <c r="A10292" i="3"/>
  <c r="A10291" i="3"/>
  <c r="A10290" i="3"/>
  <c r="A10289" i="3"/>
  <c r="A10288" i="3"/>
  <c r="A10287" i="3"/>
  <c r="A10286" i="3"/>
  <c r="A10285" i="3"/>
  <c r="A10284" i="3"/>
  <c r="A10283" i="3"/>
  <c r="A10282" i="3"/>
  <c r="A10281" i="3"/>
  <c r="A10280" i="3"/>
  <c r="A10279" i="3"/>
  <c r="A10278" i="3"/>
  <c r="A10277" i="3"/>
  <c r="A10276" i="3"/>
  <c r="A10275" i="3"/>
  <c r="A10274" i="3"/>
  <c r="A10273" i="3"/>
  <c r="A10272" i="3"/>
  <c r="A10271" i="3"/>
  <c r="A10270" i="3"/>
  <c r="A10269" i="3"/>
  <c r="A10268" i="3"/>
  <c r="A10267" i="3"/>
  <c r="A10266" i="3"/>
  <c r="A10265" i="3"/>
  <c r="A10264" i="3"/>
  <c r="A10263" i="3"/>
  <c r="A10262" i="3"/>
  <c r="A10261" i="3"/>
  <c r="A10260" i="3"/>
  <c r="A10259" i="3"/>
  <c r="A10258" i="3"/>
  <c r="A10257" i="3"/>
  <c r="A10256" i="3"/>
  <c r="A10255" i="3"/>
  <c r="A10254" i="3"/>
  <c r="A10253" i="3"/>
  <c r="A10252" i="3"/>
  <c r="A10251" i="3"/>
  <c r="A10250" i="3"/>
  <c r="A10249" i="3"/>
  <c r="A10248" i="3"/>
  <c r="A10247" i="3"/>
  <c r="A10246" i="3"/>
  <c r="A10245" i="3"/>
  <c r="A10244" i="3"/>
  <c r="A10243" i="3"/>
  <c r="A10242" i="3"/>
  <c r="A10241" i="3"/>
  <c r="A10240" i="3"/>
  <c r="A10239" i="3"/>
  <c r="A10238" i="3"/>
  <c r="A10237" i="3"/>
  <c r="A10236" i="3"/>
  <c r="A10235" i="3"/>
  <c r="A10234" i="3"/>
  <c r="A10233" i="3"/>
  <c r="A10232" i="3"/>
  <c r="A10231" i="3"/>
  <c r="A10230" i="3"/>
  <c r="A10229" i="3"/>
  <c r="A10228" i="3"/>
  <c r="A10227" i="3"/>
  <c r="A10226" i="3"/>
  <c r="A10225" i="3"/>
  <c r="A10224" i="3"/>
  <c r="A10223" i="3"/>
  <c r="A10222" i="3"/>
  <c r="A10221" i="3"/>
  <c r="A10220" i="3"/>
  <c r="A10219" i="3"/>
  <c r="A10218" i="3"/>
  <c r="A10217" i="3"/>
  <c r="A10216" i="3"/>
  <c r="A10215" i="3"/>
  <c r="A10214" i="3"/>
  <c r="A10213" i="3"/>
  <c r="A10212" i="3"/>
  <c r="A10211" i="3"/>
  <c r="A10210" i="3"/>
  <c r="A10209" i="3"/>
  <c r="A10208" i="3"/>
  <c r="A10207" i="3"/>
  <c r="A10206" i="3"/>
  <c r="A10205" i="3"/>
  <c r="A10204" i="3"/>
  <c r="A10203" i="3"/>
  <c r="A10202" i="3"/>
  <c r="A10201" i="3"/>
  <c r="A10200" i="3"/>
  <c r="A10199" i="3"/>
  <c r="A10198" i="3"/>
  <c r="A10197" i="3"/>
  <c r="A10196" i="3"/>
  <c r="A10195" i="3"/>
  <c r="A10194" i="3"/>
  <c r="A10193" i="3"/>
  <c r="A10192" i="3"/>
  <c r="A10191" i="3"/>
  <c r="A10190" i="3"/>
  <c r="A10189" i="3"/>
  <c r="A10188" i="3"/>
  <c r="A10187" i="3"/>
  <c r="A10186" i="3"/>
  <c r="A10185" i="3"/>
  <c r="A10184" i="3"/>
  <c r="A10183" i="3"/>
  <c r="A10182" i="3"/>
  <c r="A10181" i="3"/>
  <c r="A10180" i="3"/>
  <c r="A10179" i="3"/>
  <c r="A10178" i="3"/>
  <c r="A10177" i="3"/>
  <c r="A10176" i="3"/>
  <c r="A10175" i="3"/>
  <c r="A10174" i="3"/>
  <c r="A10173" i="3"/>
  <c r="A10172" i="3"/>
  <c r="A10171" i="3"/>
  <c r="A10170" i="3"/>
  <c r="A10169" i="3"/>
  <c r="A10168" i="3"/>
  <c r="A10167" i="3"/>
  <c r="A10166" i="3"/>
  <c r="A10165" i="3"/>
  <c r="A10164" i="3"/>
  <c r="A10163" i="3"/>
  <c r="A10162" i="3"/>
  <c r="A10161" i="3"/>
  <c r="A10160" i="3"/>
  <c r="A10159" i="3"/>
  <c r="A10158" i="3"/>
  <c r="A10157" i="3"/>
  <c r="A10156" i="3"/>
  <c r="A10155" i="3"/>
  <c r="A10154" i="3"/>
  <c r="A10153" i="3"/>
  <c r="A10152" i="3"/>
  <c r="A10151" i="3"/>
  <c r="A10150" i="3"/>
  <c r="A10149" i="3"/>
  <c r="A10148" i="3"/>
  <c r="A10147" i="3"/>
  <c r="A10146" i="3"/>
  <c r="A10145" i="3"/>
  <c r="A10144" i="3"/>
  <c r="A10143" i="3"/>
  <c r="A10142" i="3"/>
  <c r="A10141" i="3"/>
  <c r="A10140" i="3"/>
  <c r="A10139" i="3"/>
  <c r="A10138" i="3"/>
  <c r="A10137" i="3"/>
  <c r="A10136" i="3"/>
  <c r="A10135" i="3"/>
  <c r="A10134" i="3"/>
  <c r="A10133" i="3"/>
  <c r="A10132" i="3"/>
  <c r="A10131" i="3"/>
  <c r="A10130" i="3"/>
  <c r="A10129" i="3"/>
  <c r="A10128" i="3"/>
  <c r="A10127" i="3"/>
  <c r="A10126" i="3"/>
  <c r="A10125" i="3"/>
  <c r="A10124" i="3"/>
  <c r="A10123" i="3"/>
  <c r="A10122" i="3"/>
  <c r="A10121" i="3"/>
  <c r="A10120" i="3"/>
  <c r="A10119" i="3"/>
  <c r="A10118" i="3"/>
  <c r="A10117" i="3"/>
  <c r="A10116" i="3"/>
  <c r="A10115" i="3"/>
  <c r="A10114" i="3"/>
  <c r="A10113" i="3"/>
  <c r="A10112" i="3"/>
  <c r="A10111" i="3"/>
  <c r="A10110" i="3"/>
  <c r="A10109" i="3"/>
  <c r="A10108" i="3"/>
  <c r="A10107" i="3"/>
  <c r="A10106" i="3"/>
  <c r="A10105" i="3"/>
  <c r="A10104" i="3"/>
  <c r="A10103" i="3"/>
  <c r="A10102" i="3"/>
  <c r="A10101" i="3"/>
  <c r="A10100" i="3"/>
  <c r="A10099" i="3"/>
  <c r="A10098" i="3"/>
  <c r="A10097" i="3"/>
  <c r="A10096" i="3"/>
  <c r="A10095" i="3"/>
  <c r="A10094" i="3"/>
  <c r="A10093" i="3"/>
  <c r="A10092" i="3"/>
  <c r="A10091" i="3"/>
  <c r="A10090" i="3"/>
  <c r="A10089" i="3"/>
  <c r="A10088" i="3"/>
  <c r="A10087" i="3"/>
  <c r="A10086" i="3"/>
  <c r="A10085" i="3"/>
  <c r="A10084" i="3"/>
  <c r="A10083" i="3"/>
  <c r="A10082" i="3"/>
  <c r="A10081" i="3"/>
  <c r="A10080" i="3"/>
  <c r="A10079" i="3"/>
  <c r="A10078" i="3"/>
  <c r="A10077" i="3"/>
  <c r="A10076" i="3"/>
  <c r="A10075" i="3"/>
  <c r="A10074" i="3"/>
  <c r="A10073" i="3"/>
  <c r="A10072" i="3"/>
  <c r="A10071" i="3"/>
  <c r="A10070" i="3"/>
  <c r="A10069" i="3"/>
  <c r="A10068" i="3"/>
  <c r="A10067" i="3"/>
  <c r="A10066" i="3"/>
  <c r="A10065" i="3"/>
  <c r="A10064" i="3"/>
  <c r="A10063" i="3"/>
  <c r="A10062" i="3"/>
  <c r="A10061" i="3"/>
  <c r="A10060" i="3"/>
  <c r="A10059" i="3"/>
  <c r="A10058" i="3"/>
  <c r="A10057" i="3"/>
  <c r="A10056" i="3"/>
  <c r="A10055" i="3"/>
  <c r="A10054" i="3"/>
  <c r="A10053" i="3"/>
  <c r="A10052" i="3"/>
  <c r="A10051" i="3"/>
  <c r="A10050" i="3"/>
  <c r="A10049" i="3"/>
  <c r="A10048" i="3"/>
  <c r="A10047" i="3"/>
  <c r="A10046" i="3"/>
  <c r="A10045" i="3"/>
  <c r="A10044" i="3"/>
  <c r="A10043" i="3"/>
  <c r="A10042" i="3"/>
  <c r="A10041" i="3"/>
  <c r="A10040" i="3"/>
  <c r="A10039" i="3"/>
  <c r="A10038" i="3"/>
  <c r="A10037" i="3"/>
  <c r="A10036" i="3"/>
  <c r="A10035" i="3"/>
  <c r="A10034" i="3"/>
  <c r="A10033" i="3"/>
  <c r="A10032" i="3"/>
  <c r="A10031" i="3"/>
  <c r="A10030" i="3"/>
  <c r="A10029" i="3"/>
  <c r="A10028" i="3"/>
  <c r="A10027" i="3"/>
  <c r="A10026" i="3"/>
  <c r="A10025" i="3"/>
  <c r="A10024" i="3"/>
  <c r="A10023" i="3"/>
  <c r="A10022" i="3"/>
  <c r="A10021" i="3"/>
  <c r="A10020" i="3"/>
  <c r="A10019" i="3"/>
  <c r="A10018" i="3"/>
  <c r="A10017" i="3"/>
  <c r="A10016" i="3"/>
  <c r="A10015" i="3"/>
  <c r="A10014" i="3"/>
  <c r="A10013" i="3"/>
  <c r="A10012" i="3"/>
  <c r="A10011" i="3"/>
  <c r="A10010" i="3"/>
  <c r="A10009" i="3"/>
  <c r="A10008" i="3"/>
  <c r="A10007" i="3"/>
  <c r="A10006" i="3"/>
  <c r="A10005" i="3"/>
  <c r="A10004" i="3"/>
  <c r="A10003" i="3"/>
  <c r="A10002" i="3"/>
  <c r="A10001" i="3"/>
  <c r="A10000" i="3"/>
  <c r="A9999" i="3"/>
  <c r="A9998" i="3"/>
  <c r="A9997" i="3"/>
  <c r="A9996" i="3"/>
  <c r="A9995" i="3"/>
  <c r="A9994" i="3"/>
  <c r="A9993" i="3"/>
  <c r="A9992" i="3"/>
  <c r="A9991" i="3"/>
  <c r="A9990" i="3"/>
  <c r="A9989" i="3"/>
  <c r="A9988" i="3"/>
  <c r="A9987" i="3"/>
  <c r="A9986" i="3"/>
  <c r="A9985" i="3"/>
  <c r="A9984" i="3"/>
  <c r="A9983" i="3"/>
  <c r="A9982" i="3"/>
  <c r="A9981" i="3"/>
  <c r="A9980" i="3"/>
  <c r="A9979" i="3"/>
  <c r="A9978" i="3"/>
  <c r="A9977" i="3"/>
  <c r="A9976" i="3"/>
  <c r="A9975" i="3"/>
  <c r="A9974" i="3"/>
  <c r="A9973" i="3"/>
  <c r="A9972" i="3"/>
  <c r="A9971" i="3"/>
  <c r="A9970" i="3"/>
  <c r="A9969" i="3"/>
  <c r="A9968" i="3"/>
  <c r="A9967" i="3"/>
  <c r="A9966" i="3"/>
  <c r="A9965" i="3"/>
  <c r="A9964" i="3"/>
  <c r="A9963" i="3"/>
  <c r="A9962" i="3"/>
  <c r="A9961" i="3"/>
  <c r="A9960" i="3"/>
  <c r="A9959" i="3"/>
  <c r="A9958" i="3"/>
  <c r="A9957" i="3"/>
  <c r="A9956" i="3"/>
  <c r="A9955" i="3"/>
  <c r="A9954" i="3"/>
  <c r="A9953" i="3"/>
  <c r="A9952" i="3"/>
  <c r="A9951" i="3"/>
  <c r="A9950" i="3"/>
  <c r="A9949" i="3"/>
  <c r="A9948" i="3"/>
  <c r="A9947" i="3"/>
  <c r="A9946" i="3"/>
  <c r="A9945" i="3"/>
  <c r="A9944" i="3"/>
  <c r="A9943" i="3"/>
  <c r="A9942" i="3"/>
  <c r="A9941" i="3"/>
  <c r="A9940" i="3"/>
  <c r="A9939" i="3"/>
  <c r="A9938" i="3"/>
  <c r="A9937" i="3"/>
  <c r="A9936" i="3"/>
  <c r="A9935" i="3"/>
  <c r="A9934" i="3"/>
  <c r="A9933" i="3"/>
  <c r="A9932" i="3"/>
  <c r="A9931" i="3"/>
  <c r="A9930" i="3"/>
  <c r="A9929" i="3"/>
  <c r="A9928" i="3"/>
  <c r="A9927" i="3"/>
  <c r="A9926" i="3"/>
  <c r="A9925" i="3"/>
  <c r="A9924" i="3"/>
  <c r="A9923" i="3"/>
  <c r="A9922" i="3"/>
  <c r="A9921" i="3"/>
  <c r="A9920" i="3"/>
  <c r="A9919" i="3"/>
  <c r="A9918" i="3"/>
  <c r="A9917" i="3"/>
  <c r="A9916" i="3"/>
  <c r="A9915" i="3"/>
  <c r="A9914" i="3"/>
  <c r="A9913" i="3"/>
  <c r="A9912" i="3"/>
  <c r="A9911" i="3"/>
  <c r="A9910" i="3"/>
  <c r="A9909" i="3"/>
  <c r="A9908" i="3"/>
  <c r="A9907" i="3"/>
  <c r="A9906" i="3"/>
  <c r="A9905" i="3"/>
  <c r="A9904" i="3"/>
  <c r="A9903" i="3"/>
  <c r="A9902" i="3"/>
  <c r="A9901" i="3"/>
  <c r="A9900" i="3"/>
  <c r="A9899" i="3"/>
  <c r="A9898" i="3"/>
  <c r="A9897" i="3"/>
  <c r="A9896" i="3"/>
  <c r="A9895" i="3"/>
  <c r="A9894" i="3"/>
  <c r="A9893" i="3"/>
  <c r="A9892" i="3"/>
  <c r="A9891" i="3"/>
  <c r="A9890" i="3"/>
  <c r="A9889" i="3"/>
  <c r="A9888" i="3"/>
  <c r="A9887" i="3"/>
  <c r="A9886" i="3"/>
  <c r="A9885" i="3"/>
  <c r="A9884" i="3"/>
  <c r="A9883" i="3"/>
  <c r="A9882" i="3"/>
  <c r="A9881" i="3"/>
  <c r="A9880" i="3"/>
  <c r="A9879" i="3"/>
  <c r="A9878" i="3"/>
  <c r="A9877" i="3"/>
  <c r="A9876" i="3"/>
  <c r="A9875" i="3"/>
  <c r="A9874" i="3"/>
  <c r="A9873" i="3"/>
  <c r="A9872" i="3"/>
  <c r="A9871" i="3"/>
  <c r="A9870" i="3"/>
  <c r="A9869" i="3"/>
  <c r="A9868" i="3"/>
  <c r="A9867" i="3"/>
  <c r="A9866" i="3"/>
  <c r="A9865" i="3"/>
  <c r="A9864" i="3"/>
  <c r="A9863" i="3"/>
  <c r="A9862" i="3"/>
  <c r="A9861" i="3"/>
  <c r="A9860" i="3"/>
  <c r="A9859" i="3"/>
  <c r="A9858" i="3"/>
  <c r="A9857" i="3"/>
  <c r="A9856" i="3"/>
  <c r="A9855" i="3"/>
  <c r="A9854" i="3"/>
  <c r="A9853" i="3"/>
  <c r="A9852" i="3"/>
  <c r="A9851" i="3"/>
  <c r="A9850" i="3"/>
  <c r="A9849" i="3"/>
  <c r="A9848" i="3"/>
  <c r="A9847" i="3"/>
  <c r="A9846" i="3"/>
  <c r="A9845" i="3"/>
  <c r="A9844" i="3"/>
  <c r="A9843" i="3"/>
  <c r="A9842" i="3"/>
  <c r="A9841" i="3"/>
  <c r="A9840" i="3"/>
  <c r="A9839" i="3"/>
  <c r="A9838" i="3"/>
  <c r="A9837" i="3"/>
  <c r="A9836" i="3"/>
  <c r="A9835" i="3"/>
  <c r="A9834" i="3"/>
  <c r="A9833" i="3"/>
  <c r="A9832" i="3"/>
  <c r="A9831" i="3"/>
  <c r="A9830" i="3"/>
  <c r="A9829" i="3"/>
  <c r="A9828" i="3"/>
  <c r="A9827" i="3"/>
  <c r="A9826" i="3"/>
  <c r="A9825" i="3"/>
  <c r="A9824" i="3"/>
  <c r="A9823" i="3"/>
  <c r="A9822" i="3"/>
  <c r="A9821" i="3"/>
  <c r="A9820" i="3"/>
  <c r="A9819" i="3"/>
  <c r="A9818" i="3"/>
  <c r="A9817" i="3"/>
  <c r="A9816" i="3"/>
  <c r="A9815" i="3"/>
  <c r="A9814" i="3"/>
  <c r="A9813" i="3"/>
  <c r="A9812" i="3"/>
  <c r="A9811" i="3"/>
  <c r="A9810" i="3"/>
  <c r="A9809" i="3"/>
  <c r="A9808" i="3"/>
  <c r="A9807" i="3"/>
  <c r="A9806" i="3"/>
  <c r="A9805" i="3"/>
  <c r="A9804" i="3"/>
  <c r="A9803" i="3"/>
  <c r="A9802" i="3"/>
  <c r="A9801" i="3"/>
  <c r="A9800" i="3"/>
  <c r="A9799" i="3"/>
  <c r="A9798" i="3"/>
  <c r="A9797" i="3"/>
  <c r="A9796" i="3"/>
  <c r="A9795" i="3"/>
  <c r="A9794" i="3"/>
  <c r="A9793" i="3"/>
  <c r="A9792" i="3"/>
  <c r="A9791" i="3"/>
  <c r="A9790" i="3"/>
  <c r="A9789" i="3"/>
  <c r="A9788" i="3"/>
  <c r="A9787" i="3"/>
  <c r="A9786" i="3"/>
  <c r="A9785" i="3"/>
  <c r="A9784" i="3"/>
  <c r="A9783" i="3"/>
  <c r="A9782" i="3"/>
  <c r="A9781" i="3"/>
  <c r="A9780" i="3"/>
  <c r="A9779" i="3"/>
  <c r="A9778" i="3"/>
  <c r="A9777" i="3"/>
  <c r="A9776" i="3"/>
  <c r="A9775" i="3"/>
  <c r="A9774" i="3"/>
  <c r="A9773" i="3"/>
  <c r="A9772" i="3"/>
  <c r="A9771" i="3"/>
  <c r="A9770" i="3"/>
  <c r="A9769" i="3"/>
  <c r="A9768" i="3"/>
  <c r="A9767" i="3"/>
  <c r="A9766" i="3"/>
  <c r="A9765" i="3"/>
  <c r="A9764" i="3"/>
  <c r="A9763" i="3"/>
  <c r="A9762" i="3"/>
  <c r="A9761" i="3"/>
  <c r="A9760" i="3"/>
  <c r="A9759" i="3"/>
  <c r="A9758" i="3"/>
  <c r="A9757" i="3"/>
  <c r="A9756" i="3"/>
  <c r="A9755" i="3"/>
  <c r="A9754" i="3"/>
  <c r="A9753" i="3"/>
  <c r="A9752" i="3"/>
  <c r="A9751" i="3"/>
  <c r="A9750" i="3"/>
  <c r="A9749" i="3"/>
  <c r="A9748" i="3"/>
  <c r="A9747" i="3"/>
  <c r="A9746" i="3"/>
  <c r="A9745" i="3"/>
  <c r="A9744" i="3"/>
  <c r="A9743" i="3"/>
  <c r="A9742" i="3"/>
  <c r="A9741" i="3"/>
  <c r="A9740" i="3"/>
  <c r="A9739" i="3"/>
  <c r="A9738" i="3"/>
  <c r="A9737" i="3"/>
  <c r="A9736" i="3"/>
  <c r="A9735" i="3"/>
  <c r="A9734" i="3"/>
  <c r="A9733" i="3"/>
  <c r="A9732" i="3"/>
  <c r="A9731" i="3"/>
  <c r="A9730" i="3"/>
  <c r="A9729" i="3"/>
  <c r="A9728" i="3"/>
  <c r="A9727" i="3"/>
  <c r="A9726" i="3"/>
  <c r="A9725" i="3"/>
  <c r="A9724" i="3"/>
  <c r="A9723" i="3"/>
  <c r="A9722" i="3"/>
  <c r="A9721" i="3"/>
  <c r="A9720" i="3"/>
  <c r="A9719" i="3"/>
  <c r="A9718" i="3"/>
  <c r="A9717" i="3"/>
  <c r="A9716" i="3"/>
  <c r="A9715" i="3"/>
  <c r="A9714" i="3"/>
  <c r="A9713" i="3"/>
  <c r="A9712" i="3"/>
  <c r="A9711" i="3"/>
  <c r="A9710" i="3"/>
  <c r="A9709" i="3"/>
  <c r="A9708" i="3"/>
  <c r="A9707" i="3"/>
  <c r="A9706" i="3"/>
  <c r="A9705" i="3"/>
  <c r="A9704" i="3"/>
  <c r="A9703" i="3"/>
  <c r="A9702" i="3"/>
  <c r="A9701" i="3"/>
  <c r="A9700" i="3"/>
  <c r="A9699" i="3"/>
  <c r="A9698" i="3"/>
  <c r="A9697" i="3"/>
  <c r="A9696" i="3"/>
  <c r="A9695" i="3"/>
  <c r="A9694" i="3"/>
  <c r="A9693" i="3"/>
  <c r="A9692" i="3"/>
  <c r="A9691" i="3"/>
  <c r="A9690" i="3"/>
  <c r="A9689" i="3"/>
  <c r="A9688" i="3"/>
  <c r="A9687" i="3"/>
  <c r="A9686" i="3"/>
  <c r="A9685" i="3"/>
  <c r="A9684" i="3"/>
  <c r="A9683" i="3"/>
  <c r="A9682" i="3"/>
  <c r="A9681" i="3"/>
  <c r="A9680" i="3"/>
  <c r="A9679" i="3"/>
  <c r="A9678" i="3"/>
  <c r="A9677" i="3"/>
  <c r="A9676" i="3"/>
  <c r="A9675" i="3"/>
  <c r="A9674" i="3"/>
  <c r="A9673" i="3"/>
  <c r="A9672" i="3"/>
  <c r="A9671" i="3"/>
  <c r="A9670" i="3"/>
  <c r="A9669" i="3"/>
  <c r="A9668" i="3"/>
  <c r="A9667" i="3"/>
  <c r="A9666" i="3"/>
  <c r="A9665" i="3"/>
  <c r="A9664" i="3"/>
  <c r="A9663" i="3"/>
  <c r="A9662" i="3"/>
  <c r="A9661" i="3"/>
  <c r="A9660" i="3"/>
  <c r="A9659" i="3"/>
  <c r="A9658" i="3"/>
  <c r="A9657" i="3"/>
  <c r="A9656" i="3"/>
  <c r="A9655" i="3"/>
  <c r="A9654" i="3"/>
  <c r="A9653" i="3"/>
  <c r="A9652" i="3"/>
  <c r="A9651" i="3"/>
  <c r="A9650" i="3"/>
  <c r="A9649" i="3"/>
  <c r="A9648" i="3"/>
  <c r="A9647" i="3"/>
  <c r="A9646" i="3"/>
  <c r="A9645" i="3"/>
  <c r="A9644" i="3"/>
  <c r="A9643" i="3"/>
  <c r="A9642" i="3"/>
  <c r="A9641" i="3"/>
  <c r="A9640" i="3"/>
  <c r="A9639" i="3"/>
  <c r="A9638" i="3"/>
  <c r="A9637" i="3"/>
  <c r="A9636" i="3"/>
  <c r="A9635" i="3"/>
  <c r="A9634" i="3"/>
  <c r="A9633" i="3"/>
  <c r="A9632" i="3"/>
  <c r="A9631" i="3"/>
  <c r="A9630" i="3"/>
  <c r="A9629" i="3"/>
  <c r="A9628" i="3"/>
  <c r="A9627" i="3"/>
  <c r="A9626" i="3"/>
  <c r="A9625" i="3"/>
  <c r="A9624" i="3"/>
  <c r="A9623" i="3"/>
  <c r="A9622" i="3"/>
  <c r="A9621" i="3"/>
  <c r="A9620" i="3"/>
  <c r="A9619" i="3"/>
  <c r="A9618" i="3"/>
  <c r="A9617" i="3"/>
  <c r="A9616" i="3"/>
  <c r="A9615" i="3"/>
  <c r="A9614" i="3"/>
  <c r="A9613" i="3"/>
  <c r="A9612" i="3"/>
  <c r="A9611" i="3"/>
  <c r="A9610" i="3"/>
  <c r="A9609" i="3"/>
  <c r="A9608" i="3"/>
  <c r="A9607" i="3"/>
  <c r="A9606" i="3"/>
  <c r="A9605" i="3"/>
  <c r="A9604" i="3"/>
  <c r="A9603" i="3"/>
  <c r="A9602" i="3"/>
  <c r="A9601" i="3"/>
  <c r="A9600" i="3"/>
  <c r="A9599" i="3"/>
  <c r="A9598" i="3"/>
  <c r="A9597" i="3"/>
  <c r="A9596" i="3"/>
  <c r="A9595" i="3"/>
  <c r="A9594" i="3"/>
  <c r="A9593" i="3"/>
  <c r="A9592" i="3"/>
  <c r="A9591" i="3"/>
  <c r="A9590" i="3"/>
  <c r="A9589" i="3"/>
  <c r="A9588" i="3"/>
  <c r="A9587" i="3"/>
  <c r="A9586" i="3"/>
  <c r="A9585" i="3"/>
  <c r="A9584" i="3"/>
  <c r="A9583" i="3"/>
  <c r="A9582" i="3"/>
  <c r="A9581" i="3"/>
  <c r="A9580" i="3"/>
  <c r="A9579" i="3"/>
  <c r="A9578" i="3"/>
  <c r="A9577" i="3"/>
  <c r="A9576" i="3"/>
  <c r="A9575" i="3"/>
  <c r="A9574" i="3"/>
  <c r="A9573" i="3"/>
  <c r="A9572" i="3"/>
  <c r="A9571" i="3"/>
  <c r="A9570" i="3"/>
  <c r="A9569" i="3"/>
  <c r="A9568" i="3"/>
  <c r="A9567" i="3"/>
  <c r="A9566" i="3"/>
  <c r="A9565" i="3"/>
  <c r="A9564" i="3"/>
  <c r="A9563" i="3"/>
  <c r="A9562" i="3"/>
  <c r="A9561" i="3"/>
  <c r="A9560" i="3"/>
  <c r="A9559" i="3"/>
  <c r="A9558" i="3"/>
  <c r="A9557" i="3"/>
  <c r="A9556" i="3"/>
  <c r="A9555" i="3"/>
  <c r="A9554" i="3"/>
  <c r="A9553" i="3"/>
  <c r="A9552" i="3"/>
  <c r="A9551" i="3"/>
  <c r="A9550" i="3"/>
  <c r="A9549" i="3"/>
  <c r="A9548" i="3"/>
  <c r="A9547" i="3"/>
  <c r="A9546" i="3"/>
  <c r="A9545" i="3"/>
  <c r="A9544" i="3"/>
  <c r="A9543" i="3"/>
  <c r="A9542" i="3"/>
  <c r="A9541" i="3"/>
  <c r="A9540" i="3"/>
  <c r="A9539" i="3"/>
  <c r="A9538" i="3"/>
  <c r="A9537" i="3"/>
  <c r="A9536" i="3"/>
  <c r="A9535" i="3"/>
  <c r="A9534" i="3"/>
  <c r="A9533" i="3"/>
  <c r="A9532" i="3"/>
  <c r="A9531" i="3"/>
  <c r="A9530" i="3"/>
  <c r="A9529" i="3"/>
  <c r="A9528" i="3"/>
  <c r="A9527" i="3"/>
  <c r="A9526" i="3"/>
  <c r="A9525" i="3"/>
  <c r="A9524" i="3"/>
  <c r="A9523" i="3"/>
  <c r="A9522" i="3"/>
  <c r="A9521" i="3"/>
  <c r="A9520" i="3"/>
  <c r="A9519" i="3"/>
  <c r="A9518" i="3"/>
  <c r="A9517" i="3"/>
  <c r="A9516" i="3"/>
  <c r="A9515" i="3"/>
  <c r="A9514" i="3"/>
  <c r="A9513" i="3"/>
  <c r="A9512" i="3"/>
  <c r="A9511" i="3"/>
  <c r="A9510" i="3"/>
  <c r="A9509" i="3"/>
  <c r="A9508" i="3"/>
  <c r="A9507" i="3"/>
  <c r="A9506" i="3"/>
  <c r="A9505" i="3"/>
  <c r="A9504" i="3"/>
  <c r="A9503" i="3"/>
  <c r="A9502" i="3"/>
  <c r="A9501" i="3"/>
  <c r="A9500" i="3"/>
  <c r="A9499" i="3"/>
  <c r="A9498" i="3"/>
  <c r="A9497" i="3"/>
  <c r="A9496" i="3"/>
  <c r="A9495" i="3"/>
  <c r="A9494" i="3"/>
  <c r="A9493" i="3"/>
  <c r="A9492" i="3"/>
  <c r="A9491" i="3"/>
  <c r="A9490" i="3"/>
  <c r="A9489" i="3"/>
  <c r="A9488" i="3"/>
  <c r="A9487" i="3"/>
  <c r="A9486" i="3"/>
  <c r="A9485" i="3"/>
  <c r="A9484" i="3"/>
  <c r="A9483" i="3"/>
  <c r="A9482" i="3"/>
  <c r="A9481" i="3"/>
  <c r="A9480" i="3"/>
  <c r="A9479" i="3"/>
  <c r="A9478" i="3"/>
  <c r="A9477" i="3"/>
  <c r="A9476" i="3"/>
  <c r="A9475" i="3"/>
  <c r="A9474" i="3"/>
  <c r="A9473" i="3"/>
  <c r="A9472" i="3"/>
  <c r="A9471" i="3"/>
  <c r="A9470" i="3"/>
  <c r="A9469" i="3"/>
  <c r="A9468" i="3"/>
  <c r="A9467" i="3"/>
  <c r="A9466" i="3"/>
  <c r="A9465" i="3"/>
  <c r="A9464" i="3"/>
  <c r="A9463" i="3"/>
  <c r="A9462" i="3"/>
  <c r="A9461" i="3"/>
  <c r="A9460" i="3"/>
  <c r="A9459" i="3"/>
  <c r="A9458" i="3"/>
  <c r="A9457" i="3"/>
  <c r="A9456" i="3"/>
  <c r="A9455" i="3"/>
  <c r="A9454" i="3"/>
  <c r="A9453" i="3"/>
  <c r="A9452" i="3"/>
  <c r="A9451" i="3"/>
  <c r="A9450" i="3"/>
  <c r="A9449" i="3"/>
  <c r="A9448" i="3"/>
  <c r="A9447" i="3"/>
  <c r="A9446" i="3"/>
  <c r="A9445" i="3"/>
  <c r="A9444" i="3"/>
  <c r="A9443" i="3"/>
  <c r="A9442" i="3"/>
  <c r="A9441" i="3"/>
  <c r="A9440" i="3"/>
  <c r="A9439" i="3"/>
  <c r="A9438" i="3"/>
  <c r="A9437" i="3"/>
  <c r="A9436" i="3"/>
  <c r="A9435" i="3"/>
  <c r="A9434" i="3"/>
  <c r="A9433" i="3"/>
  <c r="A9432" i="3"/>
  <c r="A9431" i="3"/>
  <c r="A9430" i="3"/>
  <c r="A9429" i="3"/>
  <c r="A9428" i="3"/>
  <c r="A9427" i="3"/>
  <c r="A9426" i="3"/>
  <c r="A9425" i="3"/>
  <c r="A9424" i="3"/>
  <c r="A9423" i="3"/>
  <c r="A9422" i="3"/>
  <c r="A9421" i="3"/>
  <c r="A9420" i="3"/>
  <c r="A9419" i="3"/>
  <c r="A9418" i="3"/>
  <c r="A9417" i="3"/>
  <c r="A9416" i="3"/>
  <c r="A9415" i="3"/>
  <c r="A9414" i="3"/>
  <c r="A9413" i="3"/>
  <c r="A9412" i="3"/>
  <c r="A9411" i="3"/>
  <c r="A9410" i="3"/>
  <c r="A9409" i="3"/>
  <c r="A9408" i="3"/>
  <c r="A9407" i="3"/>
  <c r="A9406" i="3"/>
  <c r="A9405" i="3"/>
  <c r="A9404" i="3"/>
  <c r="A9403" i="3"/>
  <c r="A9402" i="3"/>
  <c r="A9401" i="3"/>
  <c r="A9400" i="3"/>
  <c r="A9399" i="3"/>
  <c r="A9398" i="3"/>
  <c r="A9397" i="3"/>
  <c r="A9396" i="3"/>
  <c r="A9395" i="3"/>
  <c r="A9394" i="3"/>
  <c r="A9393" i="3"/>
  <c r="A9392" i="3"/>
  <c r="A9391" i="3"/>
  <c r="A9390" i="3"/>
  <c r="A9389" i="3"/>
  <c r="A9388" i="3"/>
  <c r="A9387" i="3"/>
  <c r="A9386" i="3"/>
  <c r="A9385" i="3"/>
  <c r="A9384" i="3"/>
  <c r="A9383" i="3"/>
  <c r="A9382" i="3"/>
  <c r="A9381" i="3"/>
  <c r="A9380" i="3"/>
  <c r="A9379" i="3"/>
  <c r="A9378" i="3"/>
  <c r="A9377" i="3"/>
  <c r="A9376" i="3"/>
  <c r="A9375" i="3"/>
  <c r="A9374" i="3"/>
  <c r="A9373" i="3"/>
  <c r="A9372" i="3"/>
  <c r="A9371" i="3"/>
  <c r="A9370" i="3"/>
  <c r="A9369" i="3"/>
  <c r="A9368" i="3"/>
  <c r="A9367" i="3"/>
  <c r="A9366" i="3"/>
  <c r="A9365" i="3"/>
  <c r="A9364" i="3"/>
  <c r="A9363" i="3"/>
  <c r="A9362" i="3"/>
  <c r="A9361" i="3"/>
  <c r="A9360" i="3"/>
  <c r="A9359" i="3"/>
  <c r="A9358" i="3"/>
  <c r="A9357" i="3"/>
  <c r="A9356" i="3"/>
  <c r="A9355" i="3"/>
  <c r="A9354" i="3"/>
  <c r="A9353" i="3"/>
  <c r="A9352" i="3"/>
  <c r="A9351" i="3"/>
  <c r="A9350" i="3"/>
  <c r="A9349" i="3"/>
  <c r="A9348" i="3"/>
  <c r="A9347" i="3"/>
  <c r="A9346" i="3"/>
  <c r="A9345" i="3"/>
  <c r="A9344" i="3"/>
  <c r="A9343" i="3"/>
  <c r="A9342" i="3"/>
  <c r="A9341" i="3"/>
  <c r="A9340" i="3"/>
  <c r="A9339" i="3"/>
  <c r="A9338" i="3"/>
  <c r="A9337" i="3"/>
  <c r="A9336" i="3"/>
  <c r="A9335" i="3"/>
  <c r="A9334" i="3"/>
  <c r="A9333" i="3"/>
  <c r="A9332" i="3"/>
  <c r="A9331" i="3"/>
  <c r="A9330" i="3"/>
  <c r="A9329" i="3"/>
  <c r="A9328" i="3"/>
  <c r="A9327" i="3"/>
  <c r="A9326" i="3"/>
  <c r="A9325" i="3"/>
  <c r="A9324" i="3"/>
  <c r="A9323" i="3"/>
  <c r="A9322" i="3"/>
  <c r="A9321" i="3"/>
  <c r="A9320" i="3"/>
  <c r="A9319" i="3"/>
  <c r="A9318" i="3"/>
  <c r="A9317" i="3"/>
  <c r="A9316" i="3"/>
  <c r="A9315" i="3"/>
  <c r="A9314" i="3"/>
  <c r="A9313" i="3"/>
  <c r="A9312" i="3"/>
  <c r="A9311" i="3"/>
  <c r="A9310" i="3"/>
  <c r="A9309" i="3"/>
  <c r="A9308" i="3"/>
  <c r="A9307" i="3"/>
  <c r="A9306" i="3"/>
  <c r="A9305" i="3"/>
  <c r="A9304" i="3"/>
  <c r="A9303" i="3"/>
  <c r="A9302" i="3"/>
  <c r="A9301" i="3"/>
  <c r="A9300" i="3"/>
  <c r="A9299" i="3"/>
  <c r="A9298" i="3"/>
  <c r="A9297" i="3"/>
  <c r="A9296" i="3"/>
  <c r="A9295" i="3"/>
  <c r="A9294" i="3"/>
  <c r="A9293" i="3"/>
  <c r="A9292" i="3"/>
  <c r="A9291" i="3"/>
  <c r="A9290" i="3"/>
  <c r="A9289" i="3"/>
  <c r="A9288" i="3"/>
  <c r="A9287" i="3"/>
  <c r="A9286" i="3"/>
  <c r="A9285" i="3"/>
  <c r="A9284" i="3"/>
  <c r="A9283" i="3"/>
  <c r="A9282" i="3"/>
  <c r="A9281" i="3"/>
  <c r="A9280" i="3"/>
  <c r="A9279" i="3"/>
  <c r="A9278" i="3"/>
  <c r="A9277" i="3"/>
  <c r="A9276" i="3"/>
  <c r="A9275" i="3"/>
  <c r="A9274" i="3"/>
  <c r="A9273" i="3"/>
  <c r="A9272" i="3"/>
  <c r="A9271" i="3"/>
  <c r="A9270" i="3"/>
  <c r="A9269" i="3"/>
  <c r="A9268" i="3"/>
  <c r="A9267" i="3"/>
  <c r="A9266" i="3"/>
  <c r="A9265" i="3"/>
  <c r="A9264" i="3"/>
  <c r="A9263" i="3"/>
  <c r="A9262" i="3"/>
  <c r="A9261" i="3"/>
  <c r="A9260" i="3"/>
  <c r="A9259" i="3"/>
  <c r="A9258" i="3"/>
  <c r="A9257" i="3"/>
  <c r="A9256" i="3"/>
  <c r="A9255" i="3"/>
  <c r="A9254" i="3"/>
  <c r="A9253" i="3"/>
  <c r="A9252" i="3"/>
  <c r="A9251" i="3"/>
  <c r="A9250" i="3"/>
  <c r="A9249" i="3"/>
  <c r="A9248" i="3"/>
  <c r="A9247" i="3"/>
  <c r="A9246" i="3"/>
  <c r="A9245" i="3"/>
  <c r="A9244" i="3"/>
  <c r="A9243" i="3"/>
  <c r="A9242" i="3"/>
  <c r="A9241" i="3"/>
  <c r="A9240" i="3"/>
  <c r="A9239" i="3"/>
  <c r="A9238" i="3"/>
  <c r="A9237" i="3"/>
  <c r="A9236" i="3"/>
  <c r="A9235" i="3"/>
  <c r="A9234" i="3"/>
  <c r="A9233" i="3"/>
  <c r="A9232" i="3"/>
  <c r="A9231" i="3"/>
  <c r="A9230" i="3"/>
  <c r="A9229" i="3"/>
  <c r="A9228" i="3"/>
  <c r="A9227" i="3"/>
  <c r="A9226" i="3"/>
  <c r="A9225" i="3"/>
  <c r="A9224" i="3"/>
  <c r="A9223" i="3"/>
  <c r="A9222" i="3"/>
  <c r="A9221" i="3"/>
  <c r="A9220" i="3"/>
  <c r="A9219" i="3"/>
  <c r="A9218" i="3"/>
  <c r="A9217" i="3"/>
  <c r="A9216" i="3"/>
  <c r="A9215" i="3"/>
  <c r="A9214" i="3"/>
  <c r="A9213" i="3"/>
  <c r="A9212" i="3"/>
  <c r="A9211" i="3"/>
  <c r="A9210" i="3"/>
  <c r="A9209" i="3"/>
  <c r="A9208" i="3"/>
  <c r="A9207" i="3"/>
  <c r="A9206" i="3"/>
  <c r="A9205" i="3"/>
  <c r="A9204" i="3"/>
  <c r="A9203" i="3"/>
  <c r="A9202" i="3"/>
  <c r="A9201" i="3"/>
  <c r="A9200" i="3"/>
  <c r="A9199" i="3"/>
  <c r="A9198" i="3"/>
  <c r="A9197" i="3"/>
  <c r="A9196" i="3"/>
  <c r="A9195" i="3"/>
  <c r="A9194" i="3"/>
  <c r="A9193" i="3"/>
  <c r="A9192" i="3"/>
  <c r="A9191" i="3"/>
  <c r="A9190" i="3"/>
  <c r="A9189" i="3"/>
  <c r="A9188" i="3"/>
  <c r="A9187" i="3"/>
  <c r="A9186" i="3"/>
  <c r="A9185" i="3"/>
  <c r="A9184" i="3"/>
  <c r="A9183" i="3"/>
  <c r="A9182" i="3"/>
  <c r="A9181" i="3"/>
  <c r="A9180" i="3"/>
  <c r="A9179" i="3"/>
  <c r="A9178" i="3"/>
  <c r="A9177" i="3"/>
  <c r="A9176" i="3"/>
  <c r="A9175" i="3"/>
  <c r="A9174" i="3"/>
  <c r="A9173" i="3"/>
  <c r="A9172" i="3"/>
  <c r="A9171" i="3"/>
  <c r="A9170" i="3"/>
  <c r="A9169" i="3"/>
  <c r="A9168" i="3"/>
  <c r="A9167" i="3"/>
  <c r="A9166" i="3"/>
  <c r="A9165" i="3"/>
  <c r="A9164" i="3"/>
  <c r="A9163" i="3"/>
  <c r="A9162" i="3"/>
  <c r="A9161" i="3"/>
  <c r="A9160" i="3"/>
  <c r="A9159" i="3"/>
  <c r="A9158" i="3"/>
  <c r="A9157" i="3"/>
  <c r="A9156" i="3"/>
  <c r="A9155" i="3"/>
  <c r="A9154" i="3"/>
  <c r="A9153" i="3"/>
  <c r="A9152" i="3"/>
  <c r="A9151" i="3"/>
  <c r="A9150" i="3"/>
  <c r="A9149" i="3"/>
  <c r="A9148" i="3"/>
  <c r="A9147" i="3"/>
  <c r="A9146" i="3"/>
  <c r="A9145" i="3"/>
  <c r="A9144" i="3"/>
  <c r="A9143" i="3"/>
  <c r="A9142" i="3"/>
  <c r="A9141" i="3"/>
  <c r="A9140" i="3"/>
  <c r="A9139" i="3"/>
  <c r="A9138" i="3"/>
  <c r="A9137" i="3"/>
  <c r="A9136" i="3"/>
  <c r="A9135" i="3"/>
  <c r="A9134" i="3"/>
  <c r="A9133" i="3"/>
  <c r="A9132" i="3"/>
  <c r="A9131" i="3"/>
  <c r="A9130" i="3"/>
  <c r="A9129" i="3"/>
  <c r="A9128" i="3"/>
  <c r="A9127" i="3"/>
  <c r="A9126" i="3"/>
  <c r="A9125" i="3"/>
  <c r="A9124" i="3"/>
  <c r="A9123" i="3"/>
  <c r="A9122" i="3"/>
  <c r="A9121" i="3"/>
  <c r="A9120" i="3"/>
  <c r="A9119" i="3"/>
  <c r="A9118" i="3"/>
  <c r="A9117" i="3"/>
  <c r="A9116" i="3"/>
  <c r="A9115" i="3"/>
  <c r="A9114" i="3"/>
  <c r="A9113" i="3"/>
  <c r="A9112" i="3"/>
  <c r="A9111" i="3"/>
  <c r="A9110" i="3"/>
  <c r="A9109" i="3"/>
  <c r="A9108" i="3"/>
  <c r="A9107" i="3"/>
  <c r="A9106" i="3"/>
  <c r="A9105" i="3"/>
  <c r="A9104" i="3"/>
  <c r="A9103" i="3"/>
  <c r="A9102" i="3"/>
  <c r="A9101" i="3"/>
  <c r="A9100" i="3"/>
  <c r="A9099" i="3"/>
  <c r="A9098" i="3"/>
  <c r="A9097" i="3"/>
  <c r="A9096" i="3"/>
  <c r="A9095" i="3"/>
  <c r="A9094" i="3"/>
  <c r="A9093" i="3"/>
  <c r="A9092" i="3"/>
  <c r="A9091" i="3"/>
  <c r="A9090" i="3"/>
  <c r="A9089" i="3"/>
  <c r="A9088" i="3"/>
  <c r="A9087" i="3"/>
  <c r="A9086" i="3"/>
  <c r="A9085" i="3"/>
  <c r="A9084" i="3"/>
  <c r="A9083" i="3"/>
  <c r="A9082" i="3"/>
  <c r="A9081" i="3"/>
  <c r="A9080" i="3"/>
  <c r="A9079" i="3"/>
  <c r="A9078" i="3"/>
  <c r="A9077" i="3"/>
  <c r="A9076" i="3"/>
  <c r="A9075" i="3"/>
  <c r="A9074" i="3"/>
  <c r="A9073" i="3"/>
  <c r="A9072" i="3"/>
  <c r="A9071" i="3"/>
  <c r="A9070" i="3"/>
  <c r="A9069" i="3"/>
  <c r="A9068" i="3"/>
  <c r="A9067" i="3"/>
  <c r="A9066" i="3"/>
  <c r="A9065" i="3"/>
  <c r="A9064" i="3"/>
  <c r="A9063" i="3"/>
  <c r="A9062" i="3"/>
  <c r="A9061" i="3"/>
  <c r="A9060" i="3"/>
  <c r="A9059" i="3"/>
  <c r="A9058" i="3"/>
  <c r="A9057" i="3"/>
  <c r="A9056" i="3"/>
  <c r="A9055" i="3"/>
  <c r="A9054" i="3"/>
  <c r="A9053" i="3"/>
  <c r="A9052" i="3"/>
  <c r="A9051" i="3"/>
  <c r="A9050" i="3"/>
  <c r="A9049" i="3"/>
  <c r="A9048" i="3"/>
  <c r="A9047" i="3"/>
  <c r="A9046" i="3"/>
  <c r="A9045" i="3"/>
  <c r="A9044" i="3"/>
  <c r="A9043" i="3"/>
  <c r="A9042" i="3"/>
  <c r="A9041" i="3"/>
  <c r="A9040" i="3"/>
  <c r="A9039" i="3"/>
  <c r="A9038" i="3"/>
  <c r="A9037" i="3"/>
  <c r="A9036" i="3"/>
  <c r="A9035" i="3"/>
  <c r="A9034" i="3"/>
  <c r="A9033" i="3"/>
  <c r="A9032" i="3"/>
  <c r="A9031" i="3"/>
  <c r="A9030" i="3"/>
  <c r="A9029" i="3"/>
  <c r="A9028" i="3"/>
  <c r="A9027" i="3"/>
  <c r="A9026" i="3"/>
  <c r="A9025" i="3"/>
  <c r="A9024" i="3"/>
  <c r="A9023" i="3"/>
  <c r="A9022" i="3"/>
  <c r="A9021" i="3"/>
  <c r="A9020" i="3"/>
  <c r="A9019" i="3"/>
  <c r="A9018" i="3"/>
  <c r="A9017" i="3"/>
  <c r="A9016" i="3"/>
  <c r="A9015" i="3"/>
  <c r="A9014" i="3"/>
  <c r="A9013" i="3"/>
  <c r="A9012" i="3"/>
  <c r="A9011" i="3"/>
  <c r="A9010" i="3"/>
  <c r="A9009" i="3"/>
  <c r="A9008" i="3"/>
  <c r="A9007" i="3"/>
  <c r="A9006" i="3"/>
  <c r="A9005" i="3"/>
  <c r="A9004" i="3"/>
  <c r="A9003" i="3"/>
  <c r="A9002" i="3"/>
  <c r="A9001" i="3"/>
  <c r="A9000" i="3"/>
  <c r="A8999" i="3"/>
  <c r="A8998" i="3"/>
  <c r="A8997" i="3"/>
  <c r="A8996" i="3"/>
  <c r="A8995" i="3"/>
  <c r="A8994" i="3"/>
  <c r="A8993" i="3"/>
  <c r="A8992" i="3"/>
  <c r="A8991" i="3"/>
  <c r="A8990" i="3"/>
  <c r="A8989" i="3"/>
  <c r="A8988" i="3"/>
  <c r="A8987" i="3"/>
  <c r="A8986" i="3"/>
  <c r="A8985" i="3"/>
  <c r="A8984" i="3"/>
  <c r="A8983" i="3"/>
  <c r="A8982" i="3"/>
  <c r="A8981" i="3"/>
  <c r="A8980" i="3"/>
  <c r="A8979" i="3"/>
  <c r="A8978" i="3"/>
  <c r="A8977" i="3"/>
  <c r="A8976" i="3"/>
  <c r="A8975" i="3"/>
  <c r="A8974" i="3"/>
  <c r="A8973" i="3"/>
  <c r="A8972" i="3"/>
  <c r="A8971" i="3"/>
  <c r="A8970" i="3"/>
  <c r="A8969" i="3"/>
  <c r="A8968" i="3"/>
  <c r="A8967" i="3"/>
  <c r="A8966" i="3"/>
  <c r="A8965" i="3"/>
  <c r="A8964" i="3"/>
  <c r="A8963" i="3"/>
  <c r="A8962" i="3"/>
  <c r="A8961" i="3"/>
  <c r="A8960" i="3"/>
  <c r="A8959" i="3"/>
  <c r="A8958" i="3"/>
  <c r="A8957" i="3"/>
  <c r="A8956" i="3"/>
  <c r="A8955" i="3"/>
  <c r="A8954" i="3"/>
  <c r="A8953" i="3"/>
  <c r="A8952" i="3"/>
  <c r="A8951" i="3"/>
  <c r="A8950" i="3"/>
  <c r="A8949" i="3"/>
  <c r="A8948" i="3"/>
  <c r="A8947" i="3"/>
  <c r="A8946" i="3"/>
  <c r="A8945" i="3"/>
  <c r="A8944" i="3"/>
  <c r="A8943" i="3"/>
  <c r="A8942" i="3"/>
  <c r="A8941" i="3"/>
  <c r="A8940" i="3"/>
  <c r="A8939" i="3"/>
  <c r="A8938" i="3"/>
  <c r="A8937" i="3"/>
  <c r="A8936" i="3"/>
  <c r="A8935" i="3"/>
  <c r="A8934" i="3"/>
  <c r="A8933" i="3"/>
  <c r="A8932" i="3"/>
  <c r="A8931" i="3"/>
  <c r="A8930" i="3"/>
  <c r="A8929" i="3"/>
  <c r="A8928" i="3"/>
  <c r="A8927" i="3"/>
  <c r="A8926" i="3"/>
  <c r="A8925" i="3"/>
  <c r="A8924" i="3"/>
  <c r="A8923" i="3"/>
  <c r="A8922" i="3"/>
  <c r="A8921" i="3"/>
  <c r="A8920" i="3"/>
  <c r="A8919" i="3"/>
  <c r="A8918" i="3"/>
  <c r="A8917" i="3"/>
  <c r="A8916" i="3"/>
  <c r="A8915" i="3"/>
  <c r="A8914" i="3"/>
  <c r="A8913" i="3"/>
  <c r="A8912" i="3"/>
  <c r="A8911" i="3"/>
  <c r="A8910" i="3"/>
  <c r="A8909" i="3"/>
  <c r="A8908" i="3"/>
  <c r="A8907" i="3"/>
  <c r="A8906" i="3"/>
  <c r="A8905" i="3"/>
  <c r="A8904" i="3"/>
  <c r="A8903" i="3"/>
  <c r="A8902" i="3"/>
  <c r="A8901" i="3"/>
  <c r="A8900" i="3"/>
  <c r="A8899" i="3"/>
  <c r="A8898" i="3"/>
  <c r="A8897" i="3"/>
  <c r="A8896" i="3"/>
  <c r="A8895" i="3"/>
  <c r="A8894" i="3"/>
  <c r="A8893" i="3"/>
  <c r="A8892" i="3"/>
  <c r="A8891" i="3"/>
  <c r="A8890" i="3"/>
  <c r="A8889" i="3"/>
  <c r="A8888" i="3"/>
  <c r="A8887" i="3"/>
  <c r="A8886" i="3"/>
  <c r="A8885" i="3"/>
  <c r="A8884" i="3"/>
  <c r="A8883" i="3"/>
  <c r="A8882" i="3"/>
  <c r="A8881" i="3"/>
  <c r="A8880" i="3"/>
  <c r="A8879" i="3"/>
  <c r="A8878" i="3"/>
  <c r="A8877" i="3"/>
  <c r="A8876" i="3"/>
  <c r="A8875" i="3"/>
  <c r="A8874" i="3"/>
  <c r="A8873" i="3"/>
  <c r="A8872" i="3"/>
  <c r="A8871" i="3"/>
  <c r="A8870" i="3"/>
  <c r="A8869" i="3"/>
  <c r="A8868" i="3"/>
  <c r="A8867" i="3"/>
  <c r="A8866" i="3"/>
  <c r="A8865" i="3"/>
  <c r="A8864" i="3"/>
  <c r="A8863" i="3"/>
  <c r="A8862" i="3"/>
  <c r="A8861" i="3"/>
  <c r="A8860" i="3"/>
  <c r="A8859" i="3"/>
  <c r="A8858" i="3"/>
  <c r="A8857" i="3"/>
  <c r="A8856" i="3"/>
  <c r="A8855" i="3"/>
  <c r="A8854" i="3"/>
  <c r="A8853" i="3"/>
  <c r="A8852" i="3"/>
  <c r="A8851" i="3"/>
  <c r="A8850" i="3"/>
  <c r="A8849" i="3"/>
  <c r="A8848" i="3"/>
  <c r="A8847" i="3"/>
  <c r="A8846" i="3"/>
  <c r="A8845" i="3"/>
  <c r="A8844" i="3"/>
  <c r="A8843" i="3"/>
  <c r="A8842" i="3"/>
  <c r="A8841" i="3"/>
  <c r="A8840" i="3"/>
  <c r="A8839" i="3"/>
  <c r="A8838" i="3"/>
  <c r="A8837" i="3"/>
  <c r="A8836" i="3"/>
  <c r="A8835" i="3"/>
  <c r="A8834" i="3"/>
  <c r="A8833" i="3"/>
  <c r="A8832" i="3"/>
  <c r="A8831" i="3"/>
  <c r="A8830" i="3"/>
  <c r="A8829" i="3"/>
  <c r="A8828" i="3"/>
  <c r="A8827" i="3"/>
  <c r="A8826" i="3"/>
  <c r="A8825" i="3"/>
  <c r="A8824" i="3"/>
  <c r="A8823" i="3"/>
  <c r="A8822" i="3"/>
  <c r="A8821" i="3"/>
  <c r="A8820" i="3"/>
  <c r="A8819" i="3"/>
  <c r="A8818" i="3"/>
  <c r="A8817" i="3"/>
  <c r="A8816" i="3"/>
  <c r="A8815" i="3"/>
  <c r="A8814" i="3"/>
  <c r="A8813" i="3"/>
  <c r="A8812" i="3"/>
  <c r="A8811" i="3"/>
  <c r="A8810" i="3"/>
  <c r="A8809" i="3"/>
  <c r="A8808" i="3"/>
  <c r="A8807" i="3"/>
  <c r="A8806" i="3"/>
  <c r="A8805" i="3"/>
  <c r="A8804" i="3"/>
  <c r="A8803" i="3"/>
  <c r="A8802" i="3"/>
  <c r="A8801" i="3"/>
  <c r="A8800" i="3"/>
  <c r="A8799" i="3"/>
  <c r="A8798" i="3"/>
  <c r="A8797" i="3"/>
  <c r="A8796" i="3"/>
  <c r="A8795" i="3"/>
  <c r="A8794" i="3"/>
  <c r="A8793" i="3"/>
  <c r="A8792" i="3"/>
  <c r="A8791" i="3"/>
  <c r="A8790" i="3"/>
  <c r="A8789" i="3"/>
  <c r="A8788" i="3"/>
  <c r="A8787" i="3"/>
  <c r="A8786" i="3"/>
  <c r="A8785" i="3"/>
  <c r="A8784" i="3"/>
  <c r="A8783" i="3"/>
  <c r="A8782" i="3"/>
  <c r="A8781" i="3"/>
  <c r="A8780" i="3"/>
  <c r="A8779" i="3"/>
  <c r="A8778" i="3"/>
  <c r="A8777" i="3"/>
  <c r="A8776" i="3"/>
  <c r="A8775" i="3"/>
  <c r="A8774" i="3"/>
  <c r="A8773" i="3"/>
  <c r="A8772" i="3"/>
  <c r="A8771" i="3"/>
  <c r="A8770" i="3"/>
  <c r="A8769" i="3"/>
  <c r="A8768" i="3"/>
  <c r="A8767" i="3"/>
  <c r="A8766" i="3"/>
  <c r="A8765" i="3"/>
  <c r="A8764" i="3"/>
  <c r="A8763" i="3"/>
  <c r="A8762" i="3"/>
  <c r="A8761" i="3"/>
  <c r="A8760" i="3"/>
  <c r="A8759" i="3"/>
  <c r="A8758" i="3"/>
  <c r="A8757" i="3"/>
  <c r="A8756" i="3"/>
  <c r="A8755" i="3"/>
  <c r="A8754" i="3"/>
  <c r="A8753" i="3"/>
  <c r="A8752" i="3"/>
  <c r="A8751" i="3"/>
  <c r="A8750" i="3"/>
  <c r="A8749" i="3"/>
  <c r="A8748" i="3"/>
  <c r="A8747" i="3"/>
  <c r="A8746" i="3"/>
  <c r="A8745" i="3"/>
  <c r="A8744" i="3"/>
  <c r="A8743" i="3"/>
  <c r="A8742" i="3"/>
  <c r="A8741" i="3"/>
  <c r="A8740" i="3"/>
  <c r="A8739" i="3"/>
  <c r="A8738" i="3"/>
  <c r="A8737" i="3"/>
  <c r="A8736" i="3"/>
  <c r="A8735" i="3"/>
  <c r="A8734" i="3"/>
  <c r="A8733" i="3"/>
  <c r="A8732" i="3"/>
  <c r="A8731" i="3"/>
  <c r="A8730" i="3"/>
  <c r="A8729" i="3"/>
  <c r="A8728" i="3"/>
  <c r="A8727" i="3"/>
  <c r="A8726" i="3"/>
  <c r="A8725" i="3"/>
  <c r="A8724" i="3"/>
  <c r="A8723" i="3"/>
  <c r="A8722" i="3"/>
  <c r="A8721" i="3"/>
  <c r="A8720" i="3"/>
  <c r="A8719" i="3"/>
  <c r="A8718" i="3"/>
  <c r="A8717" i="3"/>
  <c r="A8716" i="3"/>
  <c r="A8715" i="3"/>
  <c r="A8714" i="3"/>
  <c r="A8713" i="3"/>
  <c r="A8712" i="3"/>
  <c r="A8711" i="3"/>
  <c r="A8710" i="3"/>
  <c r="A8709" i="3"/>
  <c r="A8708" i="3"/>
  <c r="A8707" i="3"/>
  <c r="A8706" i="3"/>
  <c r="A8705" i="3"/>
  <c r="A8704" i="3"/>
  <c r="A8703" i="3"/>
  <c r="A8702" i="3"/>
  <c r="A8701" i="3"/>
  <c r="A8700" i="3"/>
  <c r="A8699" i="3"/>
  <c r="A8698" i="3"/>
  <c r="A8697" i="3"/>
  <c r="A8696" i="3"/>
  <c r="A8695" i="3"/>
  <c r="A8694" i="3"/>
  <c r="A8693" i="3"/>
  <c r="A8692" i="3"/>
  <c r="A8691" i="3"/>
  <c r="A8690" i="3"/>
  <c r="A8689" i="3"/>
  <c r="A8688" i="3"/>
  <c r="A8687" i="3"/>
  <c r="A8686" i="3"/>
  <c r="A8685" i="3"/>
  <c r="A8684" i="3"/>
  <c r="A8683" i="3"/>
  <c r="A8682" i="3"/>
  <c r="A8681" i="3"/>
  <c r="A8680" i="3"/>
  <c r="A8679" i="3"/>
  <c r="A8678" i="3"/>
  <c r="A8677" i="3"/>
  <c r="A8676" i="3"/>
  <c r="A8675" i="3"/>
  <c r="A8674" i="3"/>
  <c r="A8673" i="3"/>
  <c r="A8672" i="3"/>
  <c r="A8671" i="3"/>
  <c r="A8670" i="3"/>
  <c r="A8669" i="3"/>
  <c r="A8668" i="3"/>
  <c r="A8667" i="3"/>
  <c r="A8666" i="3"/>
  <c r="A8665" i="3"/>
  <c r="A8664" i="3"/>
  <c r="A8663" i="3"/>
  <c r="A8662" i="3"/>
  <c r="A8661" i="3"/>
  <c r="A8660" i="3"/>
  <c r="A8659" i="3"/>
  <c r="A8658" i="3"/>
  <c r="A8657" i="3"/>
  <c r="A8656" i="3"/>
  <c r="A8655" i="3"/>
  <c r="A8654" i="3"/>
  <c r="A8653" i="3"/>
  <c r="A8652" i="3"/>
  <c r="A8651" i="3"/>
  <c r="A8650" i="3"/>
  <c r="A8649" i="3"/>
  <c r="A8648" i="3"/>
  <c r="A8647" i="3"/>
  <c r="A8646" i="3"/>
  <c r="A8645" i="3"/>
  <c r="A8644" i="3"/>
  <c r="A8643" i="3"/>
  <c r="A8642" i="3"/>
  <c r="A8641" i="3"/>
  <c r="A8640" i="3"/>
  <c r="A8639" i="3"/>
  <c r="A8638" i="3"/>
  <c r="A8637" i="3"/>
  <c r="A8636" i="3"/>
  <c r="A8635" i="3"/>
  <c r="A8634" i="3"/>
  <c r="A8633" i="3"/>
  <c r="A8632" i="3"/>
  <c r="A8631" i="3"/>
  <c r="A8630" i="3"/>
  <c r="A8629" i="3"/>
  <c r="A8628" i="3"/>
  <c r="A8627" i="3"/>
  <c r="A8626" i="3"/>
  <c r="A8625" i="3"/>
  <c r="A8624" i="3"/>
  <c r="A8623" i="3"/>
  <c r="A8622" i="3"/>
  <c r="A8621" i="3"/>
  <c r="A8620" i="3"/>
  <c r="A8619" i="3"/>
  <c r="A8618" i="3"/>
  <c r="A8617" i="3"/>
  <c r="A8616" i="3"/>
  <c r="A8615" i="3"/>
  <c r="A8614" i="3"/>
  <c r="A8613" i="3"/>
  <c r="A8612" i="3"/>
  <c r="A8611" i="3"/>
  <c r="A8610" i="3"/>
  <c r="A8609" i="3"/>
  <c r="A8608" i="3"/>
  <c r="A8607" i="3"/>
  <c r="A8606" i="3"/>
  <c r="A8605" i="3"/>
  <c r="A8604" i="3"/>
  <c r="A8603" i="3"/>
  <c r="A8602" i="3"/>
  <c r="A8601" i="3"/>
  <c r="A8600" i="3"/>
  <c r="A8599" i="3"/>
  <c r="A8598" i="3"/>
  <c r="A8597" i="3"/>
  <c r="A8596" i="3"/>
  <c r="A8595" i="3"/>
  <c r="A8594" i="3"/>
  <c r="A8593" i="3"/>
  <c r="A8592" i="3"/>
  <c r="A8591" i="3"/>
  <c r="A8590" i="3"/>
  <c r="A8589" i="3"/>
  <c r="A8588" i="3"/>
  <c r="A8587" i="3"/>
  <c r="A8586" i="3"/>
  <c r="A8585" i="3"/>
  <c r="A8584" i="3"/>
  <c r="A8583" i="3"/>
  <c r="A8582" i="3"/>
  <c r="A8581" i="3"/>
  <c r="A8580" i="3"/>
  <c r="A8579" i="3"/>
  <c r="A8578" i="3"/>
  <c r="A8577" i="3"/>
  <c r="A8576" i="3"/>
  <c r="A8575" i="3"/>
  <c r="A8574" i="3"/>
  <c r="A8573" i="3"/>
  <c r="A8572" i="3"/>
  <c r="A8571" i="3"/>
  <c r="A8570" i="3"/>
  <c r="A8569" i="3"/>
  <c r="A8568" i="3"/>
  <c r="A8567" i="3"/>
  <c r="A8566" i="3"/>
  <c r="A8565" i="3"/>
  <c r="A8564" i="3"/>
  <c r="A8563" i="3"/>
  <c r="A8562" i="3"/>
  <c r="A8561" i="3"/>
  <c r="A8560" i="3"/>
  <c r="A8559" i="3"/>
  <c r="A8558" i="3"/>
  <c r="A8557" i="3"/>
  <c r="A8556" i="3"/>
  <c r="A8555" i="3"/>
  <c r="A8554" i="3"/>
  <c r="A8553" i="3"/>
  <c r="A8552" i="3"/>
  <c r="A8551" i="3"/>
  <c r="A8550" i="3"/>
</calcChain>
</file>

<file path=xl/sharedStrings.xml><?xml version="1.0" encoding="utf-8"?>
<sst xmlns="http://schemas.openxmlformats.org/spreadsheetml/2006/main" count="22671" uniqueCount="15818">
  <si>
    <t>Part/Item #</t>
  </si>
  <si>
    <t>Description</t>
  </si>
  <si>
    <t>BID PRICE</t>
  </si>
  <si>
    <t>LIGHTBARS - mPOWER ROOF - EXTERIOR</t>
  </si>
  <si>
    <t>DMPLB55DEKM</t>
  </si>
  <si>
    <t>mPower Lightbar, 55 Inch, Dual Color, Front: RW/BW, Rear: RA/BA</t>
  </si>
  <si>
    <t>DMPLB48DEKM</t>
  </si>
  <si>
    <t>mPower Lightbar, 48 Inch, Dual Color, Front: RW/BW, Rear: RA/BA</t>
  </si>
  <si>
    <t>DMPLB55DEKM-STL</t>
  </si>
  <si>
    <t>mPower Lightbar, 55 Inch, Dual Color, Front: RW/BW, Rear: RA/BA with STEALTH LENS</t>
  </si>
  <si>
    <t>DMPLB48DEKM-STL</t>
  </si>
  <si>
    <t>mPower Lightbar, 48 Inch, Dual Color, Front: RW/BW, Rear: RA/BA with STEALTH LENS</t>
  </si>
  <si>
    <t>DMPLB55EEMM</t>
  </si>
  <si>
    <t>mPower Lightbar, 55 Inch, Dual Color, Front: BW/BW, Rear: BA/BA</t>
  </si>
  <si>
    <t>DMPLB48EEMM</t>
  </si>
  <si>
    <t>mPower Lightbar, 48 Inch, Dual Color, Front: BW/BW, Rear: BA/BA</t>
  </si>
  <si>
    <t>DMPLB55EEMM-STL</t>
  </si>
  <si>
    <t>mPower Lightbar, 55 Inch, Dual Color, Front: BW/BW, Rear: BA/BA with STEALTH LENS</t>
  </si>
  <si>
    <t>DMPLB48EEMM-STL</t>
  </si>
  <si>
    <t>mPower Lightbar, 48 Inch, Dual Color, Front: BW/BW, Rear: BA/BA with STEALTH LENS</t>
  </si>
  <si>
    <t>DMPLB55RBWRBA</t>
  </si>
  <si>
    <t>mPower Lightbar, 55 Inch, TRI Color, Front: RBW/RBW, Rear: RBA/RBA</t>
  </si>
  <si>
    <t>DMPLB48RBWRBA</t>
  </si>
  <si>
    <t>mPower Lightbar, 48 Inch, TRI Color, Front: RBW/RBW, Rear: RBA/RBA</t>
  </si>
  <si>
    <t>DMPLB55RBWRBA-STL</t>
  </si>
  <si>
    <t>mPower Lightbar, 55 Inch, TRI Color, Front: RBW/RBW, Rear: RBA/RBA with STEALTH LENS</t>
  </si>
  <si>
    <t>DMPLB48RBWRBA-STL</t>
  </si>
  <si>
    <t>mPower Lightbar, 48 Inch, TRI Color, Front: RBW/RBW, Rear: RBA/RBA with STEALTH LENS</t>
  </si>
  <si>
    <t>DMPLB55DDKK</t>
  </si>
  <si>
    <t>mPower Lightbar, 55 Inch, Dual Color, Front: RW/RW, Rear: RA/RA</t>
  </si>
  <si>
    <t>DMPLB48DDKK</t>
  </si>
  <si>
    <t>mPower Lightbar, 48 Inch, Dual Color, Front: RW/RW, Rear: RA/RA</t>
  </si>
  <si>
    <t>DMPLB55DDKK-STL</t>
  </si>
  <si>
    <t>mPower Lightbar, 55 Inch, Dual Color, Front: RW/RW, Rear: RA/RA with STEALTH LENS</t>
  </si>
  <si>
    <t>DMPLB48DDKK-STL</t>
  </si>
  <si>
    <t>mPower Lightbar, 48 Inch, Dual Color, Front: RW/RW, Rear: RA/RA with STEALTH LENS</t>
  </si>
  <si>
    <t>DMPLB55FFFF</t>
  </si>
  <si>
    <t>mPower Lightbar, 55 Inch, Dual Color, Front: AW/AW, Rear: AW/AW</t>
  </si>
  <si>
    <t>DMPLB48FFFF</t>
  </si>
  <si>
    <t>mPower Lightbar, 48 Inch, Dual Color, Front: AW/AW, Rear: AW/AW</t>
  </si>
  <si>
    <t>DMPLB55FFFF-STL</t>
  </si>
  <si>
    <t>mPower Lightbar, 55 Inch, Dual Color, Front: AW/AW, Rear: AW/AW with STEALTH LENS</t>
  </si>
  <si>
    <t>DMPLB48FFFF-STL</t>
  </si>
  <si>
    <t>mPower Lightbar, 48 Inch, Dual Color, Front: AW/AW, Rear: AW/AW with STEALTH LENS</t>
  </si>
  <si>
    <t>LIGHTBARS - NXT ROOF - EXTERIOR</t>
  </si>
  <si>
    <t>DNXTLB54DEKM</t>
  </si>
  <si>
    <t xml:space="preserve">NXT Lightbar, 54 Inch, Dual Color, Front: RW/BW, Rear: RA/BA </t>
  </si>
  <si>
    <t>DNXTLB48DEKM</t>
  </si>
  <si>
    <t>NXT Lightbar, 48 Inch, Dual Color, Front: RW/BW, Rear: RA/BA</t>
  </si>
  <si>
    <t>DNXTLB54EEMM</t>
  </si>
  <si>
    <t>NXT Lightbar, 54 Inch, Dual Color, Front: BW/BW, Rear: BA/BA</t>
  </si>
  <si>
    <t>DNXTLB48EEMM</t>
  </si>
  <si>
    <t>NXT Lightbar, 48 Inch, Dual Color, Front: BW/BW, Rear: BA/BA</t>
  </si>
  <si>
    <t>DNXTLB54FFFF</t>
  </si>
  <si>
    <t>NXT Lightbar, 54 Inch, Dual Color, Front: AW/AW, Rear: AW/AW</t>
  </si>
  <si>
    <t>DNXTLB48FFFF</t>
  </si>
  <si>
    <t>NXT Lightbar, 48 Inch, Dual Color, Front: AW/AW, Rear: AW/AW</t>
  </si>
  <si>
    <t>DNXTLB54DDKK</t>
  </si>
  <si>
    <t>NXT Lightbar, 54 Inch, Dual Color, Front: RW/RW, Rear: RA/RA</t>
  </si>
  <si>
    <t>DNXTLB48DDKK</t>
  </si>
  <si>
    <t>NXT Lightbar, 48 Inch, Dual Color, Front: RW/RW, Rear: RA/RA</t>
  </si>
  <si>
    <t>LIGHTBARS - BAR &amp; FOOT MECHANICAL OPTIONS</t>
  </si>
  <si>
    <t>PMPLBDFL2S</t>
  </si>
  <si>
    <t>WIND DEFLECTOR - SILVER</t>
  </si>
  <si>
    <t>PMPLBDFL2B</t>
  </si>
  <si>
    <t>WIND DEFLECTOR - BLACK</t>
  </si>
  <si>
    <t>PMPLBDFL2G</t>
  </si>
  <si>
    <t>WIND DEFLECTOR - GRAY</t>
  </si>
  <si>
    <t>PMPLBDFL1</t>
  </si>
  <si>
    <t>WIND DEFLECTOR GASKET</t>
  </si>
  <si>
    <t>PUVBBJ00</t>
  </si>
  <si>
    <t>UNIVERSAL BOB</t>
  </si>
  <si>
    <t>PNFLBKXT</t>
  </si>
  <si>
    <t>EXTENSION PLATE</t>
  </si>
  <si>
    <t>LIGHTBARS - HOOK OR STRAP KITS - REQUIRED FOR EXTERIOR ROOF BARS</t>
  </si>
  <si>
    <t>PNFLBF38</t>
  </si>
  <si>
    <t xml:space="preserve">2021-2025 TAHOE, mPOWER &amp; NXT 48 INCH thru 55 INCH </t>
  </si>
  <si>
    <t>PMPLBKXT</t>
  </si>
  <si>
    <t>2021-2025 TAHOE, mPOWER &amp; NXT 48 INCH EXTENSION</t>
  </si>
  <si>
    <t>PNFLBF44</t>
  </si>
  <si>
    <t>2020-2025 EXPLORER PIU, mPOWER &amp; NXT 48 INCH thru 55 INCH</t>
  </si>
  <si>
    <t>2020-2025 EXPLORER PIU, mPOWER &amp; NXT 48 INCH EXTENSION</t>
  </si>
  <si>
    <t>PNFLBF14</t>
  </si>
  <si>
    <t>2021-2025 DURANGO, mPOWER &amp; NXT 48 INCH</t>
  </si>
  <si>
    <t>PNFLBF34</t>
  </si>
  <si>
    <t>2021-2025 F150, mPOWER &amp; NXT 48 INCH thru 55 INCH</t>
  </si>
  <si>
    <t>2021-2025 F150, mPOWER &amp; NXT 48 INCH EXTENSION</t>
  </si>
  <si>
    <t>PNFLBF33</t>
  </si>
  <si>
    <t>2020-2025 SILVERADO, mPOWER &amp; NXT 48 INCH thru 55 INCH</t>
  </si>
  <si>
    <t>2021-2025 SILVERADO, mPOWER &amp; NXT 48 INCH EXTENSION</t>
  </si>
  <si>
    <t>PNFLBF36</t>
  </si>
  <si>
    <t>2021-2025 RAM 1500 Classic, mPOWER &amp; NXT 48 INCH thru 55 INCH</t>
  </si>
  <si>
    <t>2021-2025 RAM 1500 Classic, mPOWER &amp; NXT 48 INCH EXTENSION</t>
  </si>
  <si>
    <t>LIGHTBARS -2021-2025 TAHOE - INTERIOR</t>
  </si>
  <si>
    <t>DFILB8TAH21DE</t>
  </si>
  <si>
    <t>NFORCE INTERIOR BAR, FRONT, 8 Module, 2021-25 TAHOE, Dual Color, RW/BW</t>
  </si>
  <si>
    <t>DFILB8TAH21EE</t>
  </si>
  <si>
    <t>NFORCE INTERIOR BAR, FRONT, 8 Module, 2021-25 TAHOE, Dual Color, BW/BW</t>
  </si>
  <si>
    <t>DFILB8TAH21DD</t>
  </si>
  <si>
    <t>NFORCE INTERIOR BAR, FRONT, 8 Module, 2021-25 TAHOE, Dual Color, RW/RW</t>
  </si>
  <si>
    <t>DRILB8TAH21KM</t>
  </si>
  <si>
    <t>NFORCE INTERIOR BAR, REAR, 8 Module, 2021-25 TAHOE, Dual Color, RA/BA</t>
  </si>
  <si>
    <t>DRILB8TAH21KK</t>
  </si>
  <si>
    <t>NFORCE INTERIOR BAR, REAR, 8 Module, 2021-25 TAHOE, Dual Color, RA/RA</t>
  </si>
  <si>
    <t>DRILB8TAH21MM</t>
  </si>
  <si>
    <t>NFORCE INTERIOR BAR, REAR, 8 Module, 2021-25 TAHOE, Dual Color, BA/BA</t>
  </si>
  <si>
    <t>LIGHTBARS -2025+ FPIU - INTERIOR</t>
  </si>
  <si>
    <t>DFILB6PIU25DE</t>
  </si>
  <si>
    <t>NFORCE INTERIOR BAR, FRONT, 6 Module,  2025+ PIU, Dual Color, RW/BW</t>
  </si>
  <si>
    <t>DFILB6PIU25DD</t>
  </si>
  <si>
    <t>NFORCE INTERIOR BAR, FRONT, 6 Module, 2025+ PIU, Dual Color, RW/RW</t>
  </si>
  <si>
    <t>DFILB6PIU25EE</t>
  </si>
  <si>
    <t>NFORCE INTERIOR BAR, FRONT, 6 Module, 2025+ PIU, Dual Color, BW/BW</t>
  </si>
  <si>
    <t>DRILB6PIU25KM</t>
  </si>
  <si>
    <t>NFORCE INTERIOR BAR, REAR, 6 Module, 2025+ PIU, Dual Color, RA/BA</t>
  </si>
  <si>
    <t>DRILB6PIU25KK</t>
  </si>
  <si>
    <t>NFORCE INTERIOR BAR, REAR, 6 Module, 2025+ PIU, Dual Color, RA/RA</t>
  </si>
  <si>
    <t>DRILB6PIU25MM</t>
  </si>
  <si>
    <t>NFORCE INTERIOR BAR, REAR, 6 Module,  2025+ PIU, Dual Color, BA/BA</t>
  </si>
  <si>
    <t>LIGHTBARS -2021 - 2025 DURANGO - INTERIOR</t>
  </si>
  <si>
    <t>DFILB8DUR21DE</t>
  </si>
  <si>
    <t>NFORCE INTERIOR BAR, FRONT, 8 Module, 2021-25 DURANGO, Dual Color, RW/BW</t>
  </si>
  <si>
    <t>DFILB8DUR21EE</t>
  </si>
  <si>
    <t>NFORCE INTERIOR BAR, FRONT, 8 Module, 2021-25 DURANGO, Dual Color, BW/BW</t>
  </si>
  <si>
    <t>DFILB8DUR21DD</t>
  </si>
  <si>
    <t>NFORCE INTERIOR BAR, FRONT, 8 Module, 2021-25 DURANGO, Dual Color, RW/RW</t>
  </si>
  <si>
    <t>DRILB6DUR21KM</t>
  </si>
  <si>
    <t>NFORCE INTERIOR BAR, REAR, 8 Module, 2021-25 DURANGO, Dual Color, RA/BA</t>
  </si>
  <si>
    <t>DRILB6DUR21KK</t>
  </si>
  <si>
    <t>NFORCE INTERIOR BAR, REAR, 8 Module, 2021-25 DURANGO, Dual Color, RA/RA</t>
  </si>
  <si>
    <t>DRILB6DUR21MM</t>
  </si>
  <si>
    <t>NFORCE INTERIOR BAR, REAR, 8 Module, 2021-25 DURANGO, Dual Color, BA/BA</t>
  </si>
  <si>
    <t>LIGHTBARS -2021 - 2025 F150 - INTERIOR</t>
  </si>
  <si>
    <t>DFILB8F15021DE</t>
  </si>
  <si>
    <t>NFORCE INTERIOR BAR, FRONT, 8 Module, 2021-25 F150, Dual Color, RW/BW</t>
  </si>
  <si>
    <t>DFILB8F15021EE</t>
  </si>
  <si>
    <t>NFORCE INTERIOR BAR, FRONT, 8 Module, 2021-25 F150, Dual Color, BW/BW</t>
  </si>
  <si>
    <t>DFILB8F15021DD</t>
  </si>
  <si>
    <t>NFORCE INTERIOR BAR, FRONT, 8 Module, 2021-25 F150, Dual Color, RW/RW</t>
  </si>
  <si>
    <t>LIGHTBARS -2019.5 - 2025 SILVERADO - INTERIOR</t>
  </si>
  <si>
    <t>DFILB8SIL20DE</t>
  </si>
  <si>
    <t>NFORCE INTERIOR BAR, FRONT, 8 Module, 2019.5-25 SILVERADO, Dual Color, RW/BW</t>
  </si>
  <si>
    <t>DFILB8SIL20EE</t>
  </si>
  <si>
    <t>NFORCE INTERIOR BAR, FRONT, 8 Module, 2019.5-25 SILVERADO, Dual Color, BW/BW</t>
  </si>
  <si>
    <t>DFILB8SIL20DD</t>
  </si>
  <si>
    <t>NFORCE INTERIOR BAR, FRONT, 8 Module, 2019.5-25 SILVERADO, Dual Color, RW/RW</t>
  </si>
  <si>
    <t>LIGHTBARS -UNIVERSAL FRONT - INTERIOR</t>
  </si>
  <si>
    <t>DFILB6UNIVDE</t>
  </si>
  <si>
    <t>NFORCE INTERIOR BAR, FRONT, 6 Module, UNIVERSAL, Dual Color, RW/BW</t>
  </si>
  <si>
    <t>DFILB6UNIVEE</t>
  </si>
  <si>
    <t>NFORCE INTERIOR BAR, FRONT, 6 Module, UNIVERSAL, Dual Color, BW/BW</t>
  </si>
  <si>
    <t>DFILB6UNIVDD</t>
  </si>
  <si>
    <t>NFORCE INTERIOR BAR, FRONT, 6 Module, UNIVERSAL, Dual Color, RW/RW</t>
  </si>
  <si>
    <t>TRAFFIC CONTROLLER STICK - INTERIOR &amp; EXTERIOR</t>
  </si>
  <si>
    <t>DMPTC5AMB</t>
  </si>
  <si>
    <t xml:space="preserve">mPOWER TRAFFIC CONTROLLER, 33", 5 Module, AMBER </t>
  </si>
  <si>
    <t>DMPTC5RA</t>
  </si>
  <si>
    <t>mPOWER TRAFFIC CONTROLLER, 33", 5 Module, Dual Color, RA/RA</t>
  </si>
  <si>
    <t>DMPTC5RB</t>
  </si>
  <si>
    <t>mPOWER TRAFFIC CONTROLLER, 33", 5 Module, Dual Color, RB/RB</t>
  </si>
  <si>
    <t>DMPTC5RAW</t>
  </si>
  <si>
    <t xml:space="preserve">mPOWER TRAFFIC CONTROLLER, 33", 5 Module, TRI Color, RAW/RAW </t>
  </si>
  <si>
    <t>DMPTC5RBW</t>
  </si>
  <si>
    <t>mPOWER TRAFFIC CONTROLLER, 33", 5 Module, TRI Color, RBW/RBW</t>
  </si>
  <si>
    <t>DMPTC4AMB</t>
  </si>
  <si>
    <t>mPOWER TRAFFIC CONTROLLER, 26", 4 Module, AMBER</t>
  </si>
  <si>
    <t>DMPTC4RA</t>
  </si>
  <si>
    <t xml:space="preserve"> mPOWER TRAFFIC CONTROLLER, 26", 4 Module, Dual Color, RA/RA</t>
  </si>
  <si>
    <t>DMPTC4RB</t>
  </si>
  <si>
    <t>mPOWER TRAFFIC CONTROLLER, 26", 4 Module, Dual Color, RB/RB</t>
  </si>
  <si>
    <t>DMPTC4RAW</t>
  </si>
  <si>
    <t>mPOWER TRAFFIC CONTROLLER, 26", 4 Module, TRI Color, RAW/RAW</t>
  </si>
  <si>
    <t>DMPTC4RBW</t>
  </si>
  <si>
    <t>mPOWER TRAFFIC CONTROLLER, 26", 4 Module, TRI Color, RBW/RBW</t>
  </si>
  <si>
    <t>EMPLB*****</t>
  </si>
  <si>
    <t>SoundOff Signal 55" Mpower Lightbar</t>
  </si>
  <si>
    <t>ENNLB*****</t>
  </si>
  <si>
    <t>SoundOff Signal 54" NXT Lightbar</t>
  </si>
  <si>
    <t>ENULB*****</t>
  </si>
  <si>
    <t>SoundOff Signal 54" Nfuse Lightbar</t>
  </si>
  <si>
    <t>ENRLB*****</t>
  </si>
  <si>
    <t>SoundOff Signal 54' Nroads Fleet</t>
  </si>
  <si>
    <t>ENFWB*****</t>
  </si>
  <si>
    <t>SoundOff Signal Interior Front 2 Piece Lightbar</t>
  </si>
  <si>
    <t>SoundOff Signal Interior Passenger only 3/4 Module</t>
  </si>
  <si>
    <t>SoundOff Signal Interior Rear Ligthbar 6 Module</t>
  </si>
  <si>
    <t>SoundOff Signal Interior Rear Ligthbar 8 Module</t>
  </si>
  <si>
    <t>EMPTC0****</t>
  </si>
  <si>
    <t>26" 4 Head Rear mPower Traffic Controller</t>
  </si>
  <si>
    <t>39" 6 Head Rear mPower Traffic Controller</t>
  </si>
  <si>
    <t>52" 8 Head Rear mPower Traffic Controller</t>
  </si>
  <si>
    <t>SoundOff Siren and Control Systems</t>
  </si>
  <si>
    <t>ETSA482RSP</t>
  </si>
  <si>
    <t>SoundOff Signal 480 Remote Siren 200w</t>
  </si>
  <si>
    <t>ETSA461HPP</t>
  </si>
  <si>
    <t>SoundOff Signal 460 Hand Held Siren 200w</t>
  </si>
  <si>
    <t>ETSA200R</t>
  </si>
  <si>
    <t>SoundOff Signal 200 Series Compact Siren</t>
  </si>
  <si>
    <t>ETSKLF101</t>
  </si>
  <si>
    <t>SondOff Signal Aftershock Low Frequency 100w</t>
  </si>
  <si>
    <t>ETSKLF201</t>
  </si>
  <si>
    <t>SondOff Signal Aftershock Low Frequency 200w</t>
  </si>
  <si>
    <t>ETSS100J</t>
  </si>
  <si>
    <t>SoundOff Signal 100W Speaker</t>
  </si>
  <si>
    <t>SoundOff Blueprint</t>
  </si>
  <si>
    <t>ENGCP15001</t>
  </si>
  <si>
    <t>SoundOff Signal Blueprint Hand Held Controler</t>
  </si>
  <si>
    <t>ENGCP18001</t>
  </si>
  <si>
    <t>SoundOff Signal Blueprint Remote Control Panel</t>
  </si>
  <si>
    <t>ENGCP18002</t>
  </si>
  <si>
    <t>SoundOff Signal Blueprint Remote Control Panel with Knob</t>
  </si>
  <si>
    <t>ENGSA5200RSP</t>
  </si>
  <si>
    <t>bluePRINT® 500 Control System Button - contains: 2 ea ETSS100J, 2 ea ENGND04102, 2 ea ENGHNK05,</t>
  </si>
  <si>
    <t>ENGSA5200RSR</t>
  </si>
  <si>
    <t>bluePRINT® 500 Control System Rotary - contains: 2 ea ETSS100J, 2 ea ENGND04102, 2 ea ENGHNK05,</t>
  </si>
  <si>
    <t>ENGSA5100HPP</t>
  </si>
  <si>
    <t>bluePRINT® 500 Control System Handheld  - contains: 1 ea ETSS100J, 2 ea ENGND04102, 2 ea ENGHNK05,</t>
  </si>
  <si>
    <t>ENGLMK***</t>
  </si>
  <si>
    <t>SoundOff Signal Blueprint Micro Link Specific Vehicle</t>
  </si>
  <si>
    <t>ENGND04102</t>
  </si>
  <si>
    <t>SoundOff Signal Blueprint Remote Node / Mag</t>
  </si>
  <si>
    <t>ENGSYMD01</t>
  </si>
  <si>
    <t>SoundOff Signal Blueprint Sync</t>
  </si>
  <si>
    <t>SoundOff Signal Blueprint 500 Series Siren Only</t>
  </si>
  <si>
    <t>ENGHNK01</t>
  </si>
  <si>
    <t>SoundOff Signal Blueprint Central Harness</t>
  </si>
  <si>
    <t>ENGHNK05</t>
  </si>
  <si>
    <t>SoundOff Signal Blueprint 500 Node Harness</t>
  </si>
  <si>
    <t>SoundOff Perimeter Lighting</t>
  </si>
  <si>
    <t>EMPS1**S3*</t>
  </si>
  <si>
    <t>SoundOff Signal 3" mpower Lights Quick, Stud or Screw Mount Dual Color</t>
  </si>
  <si>
    <t>EMPS1**S4***</t>
  </si>
  <si>
    <t>SoundOff Signal 3" mpower Lights Quick, Stud or Screw Mount Tri Color</t>
  </si>
  <si>
    <t>EMPS2**S4*</t>
  </si>
  <si>
    <t>SoundOff Signal 4" mpower Lights Quick, Stud or Screw Mount Dual Color</t>
  </si>
  <si>
    <t>EMPS2**S5***</t>
  </si>
  <si>
    <t>SoundOff Signal 4" mpower Lights Quick, Stud or Screw Mount Tri Color</t>
  </si>
  <si>
    <t>EMPSA0****</t>
  </si>
  <si>
    <t>SoundOff Signal 4x2 mpower Lights Quick, Stud or Screw Mount Dual Color</t>
  </si>
  <si>
    <t>SoundOff Signal 4x2 mpower Lights Quick, Stud or Screw Mount Tri Color</t>
  </si>
  <si>
    <t>EMPSB0C97***</t>
  </si>
  <si>
    <t>SoundOff Signal 6"x4" mpower Lights with Screw Mount 24 LED (Dual) 1.5' Pigtail Clear Housing/Lens</t>
  </si>
  <si>
    <t>EMPSC07M9***</t>
  </si>
  <si>
    <t>SoundOff Signal 7"x3" mpower with Screw Mount 24 LED (Dual)  1.5' Pigtail Clear Housing/Lens</t>
  </si>
  <si>
    <t>ENT3B3*</t>
  </si>
  <si>
    <t>SoundOff Signal Intersector Under Mirror Lights, Dual Color</t>
  </si>
  <si>
    <t>ENFSGS3*</t>
  </si>
  <si>
    <t>SoundOff Signal Nforce Single Deck and Grille, Dual Color</t>
  </si>
  <si>
    <t>ENFRMS3*</t>
  </si>
  <si>
    <t>SoundOff Signal Nforce Replacement Light, Dual Color</t>
  </si>
  <si>
    <t>ENFSGS4***</t>
  </si>
  <si>
    <t>SoundOff Signal Nforce Single Deck and Grille, Tri Color</t>
  </si>
  <si>
    <t>ELUC3H010*</t>
  </si>
  <si>
    <t>SoundOff Signal Universal Undercover "Hide-a-LED", Dual Color</t>
  </si>
  <si>
    <t>PLUCTCL1</t>
  </si>
  <si>
    <t>SounfOff Signal Universal Undercover Collar Kit for Undercover Light (ea)</t>
  </si>
  <si>
    <t>EMPS4STS4*</t>
  </si>
  <si>
    <t>SoundOff Signal mpower HD Lights, Dual Color</t>
  </si>
  <si>
    <t>SoundOff Interior Vehicle Lighting</t>
  </si>
  <si>
    <t>ECVDMLTAL00</t>
  </si>
  <si>
    <t>Red White Dome Light, LED, 6 Inch</t>
  </si>
  <si>
    <t>ECVDMLTST4</t>
  </si>
  <si>
    <t>6x3 Flushmount White Light</t>
  </si>
  <si>
    <t>EBSDL0002*</t>
  </si>
  <si>
    <t>obSERVE+ Dome Light - 3" Round, Dual Color</t>
  </si>
  <si>
    <t>Other SoundOff Light Bars</t>
  </si>
  <si>
    <t>RWBW_MPWR55_PATROL_PKG</t>
  </si>
  <si>
    <t>DMPLB55DEKM mPower Lightbar, 55 Inch, Dual Color, Front: RW/BW, Rear: RA/BA, Plus ENGSA5200RSR bluePRINT 500 Series Remote 200W Knob Control System, Plus Two ETSSVBK01 Brackets, Plus Two ETSS100J, 100J Speakers, Plus ENGLMK0**, bluePRINT Link Micro Kit, Plus ENGSYMD01, bluePRINT Sync Module</t>
  </si>
  <si>
    <t>RWBW_MPWR48_PATROL_PKG</t>
  </si>
  <si>
    <t>DMPLB48DEKM mPower Lightbar, 48 Inch, Dual Color, Front: RW/BW, Rear: RA/BA, Plus ENGSA5200RSR bluePRINT 500 Series Remote 200W Knob Control System, Plus Two ETSSVBK01 Brackets, Plus Two ETSS100J, 100J Speakers, Plus ENGLMK0**, bluePRINT Link Micro Kit, Plus ENGSYMD01, bluePRINT Sync Module</t>
  </si>
  <si>
    <t>RWBW_MPWR55_PATROL_LP_PKG</t>
  </si>
  <si>
    <t>DMPLB55DEKM-STL mPower Lightbar, 55 Inch, Dual Color, Front: RW/BW, Rear: RA/BA with STEALTH LENS, Plus ENGSA5200RSR bluePRINT 500 Series Remote 200W Knob Control System, Plus Two ETSSVBK01 Brackets, Plus Two ETSS100J, 100J Speakers, Plus ENGLMK0**, bluePRINT Link Micro Kit, Plus ENGSYMD01, bluePRINT Sync Module</t>
  </si>
  <si>
    <t>RWBW_MPWR48_PATROL_LP_PKG</t>
  </si>
  <si>
    <t>DMPLB48DEKM-STL mPower Lightbar, 48 Inch, Dual Color, Front: RW/BW, Rear: RA/BA with STEALTH LENS, Plus ENGSA5200RSR bluePRINT 500 Series Remote 200W Knob Control System, Plus Two ETSSVBK01 Brackets, Plus Two ETSS100J, 100J Speakers, Plus ENGLMK0**, bluePRINT Link Micro Kit, Plus ENGSYMD01, bluePRINT Sync Module</t>
  </si>
  <si>
    <t>BWBW_MPWR55_PATROL_PKG</t>
  </si>
  <si>
    <t>DMPLB55EEMM mPower Lightbar, 55 Inch, Dual Color, Front: BW/BW, Rear: BA/BA, Plus ENGSA5200RSR bluePRINT 500 Series Remote 200W Knob Control System, Plus Two ETSSVBK01 Brackets, Plus Two ETSS100J, 100J Speakers, Plus ENGLMK0**, bluePRINT Link Micro Kit, Plus ENGSYMD01, bluePRINT Sync Module</t>
  </si>
  <si>
    <t>BWBW_MPWR48_PATROL_PKG</t>
  </si>
  <si>
    <t>DMPLB48EEMM mPower Lightbar, 48 Inch, Dual Color, Front: BW/BW, Rear: BA/BA, Plus ENGSA5200RSR bluePRINT 500 Series Remote 200W Knob Control System, Plus Two ETSSVBK01 Brackets, Plus Two ETSS100J, 100J Speakers, Plus ENGLMK0**, bluePRINT Link Micro Kit, Plus ENGSYMD01, bluePRINT Sync Module</t>
  </si>
  <si>
    <t>BWBW_MPWR55_PATROL_LP_PKG</t>
  </si>
  <si>
    <t>DMPLB55EEMM-STL mPower Lightbar, 55 Inch, Dual Color, Front: BW/BW, Rear: BA/BA with STEALTH LENS, Plus ENGSA5200RSR bluePRINT 500 Series Remote 200W Knob Control System, Plus Two ETSSVBK01 Brackets, Plus Two ETSS100J, 100J Speakers, Plus ENGLMK0**, bluePRINT Link Micro Kit, Plus ENGSYMD01, bluePRINT Sync Module</t>
  </si>
  <si>
    <t>BWBW_MPWR48_PATROL_LP_PKG</t>
  </si>
  <si>
    <t>DMPLB48EEMM-STL mPower Lightbar, 48 Inch, Dual Color, Front: BW/BW, Rear: BA/BA with STEALTH LENS, Plus ENGSA5200RSR bluePRINT 500 Series Remote 200W Knob Control System, Plus Two ETSSVBK01 Brackets, Plus Two ETSS100J, 100J Speakers, Plus ENGLMK0**, bluePRINT Link Micro Kit, Plus ENGSYMD01, bluePRINT Sync Module</t>
  </si>
  <si>
    <t>RBW_MPWR55_PATROL_PKG</t>
  </si>
  <si>
    <t>DMPLB55RBWRBA mPower Lightbar, 55 Inch, TRI Color, Front: RBW/RBW, Rear: RBA/RBA, Plus ENGSA5200RSR bluePRINT 500 Series Remote 200W Knob Control System, Plus Two ETSSVBK01 Brackets, Plus Two ETSS100J, 100J Speakers, Plus ENGLMK0**, bluePRINT Link Micro Kit, Plus ENGSYMD01, bluePRINT Sync Module</t>
  </si>
  <si>
    <t>RBW_MPWR48_PATROL_PKG</t>
  </si>
  <si>
    <t>DMPLB48RBWRBA mPower Lightbar, 48 Inch, TRI Color, Front: RBW/RBW, Rear: RBA/RBA, Plus ENGSA5200RSR bluePRINT 500 Series Remote 200W Knob Control System, Plus Two ETSSVBK01 Brackets, Plus Two ETSS100J, 100J Speakers, Plus ENGLMK0**, bluePRINT Link Micro Kit, Plus ENGSYMD01, bluePRINT Sync Module</t>
  </si>
  <si>
    <t>RBW_MPWR55_PATROL_LP_PKG</t>
  </si>
  <si>
    <t>DMPLB55RBWRBA-STL mPower Lightbar, 55 Inch, TRI Color, Front: RBW/RBW, Rear: RBA/RBA with STEALTH LENS, Plus ENGSA5200RSR bluePRINT 500 Series Remote 200W Knob Control System, Plus Two ETSSVBK01 Brackets, Plus Two ETSS100J, 100J Speakers, Plus ENGLMK0**, bluePRINT Link Micro Kit, Plus ENGSYMD01, bluePRINT Sync Module</t>
  </si>
  <si>
    <t>RBW_MPWR48_PATROL_LP_PKG</t>
  </si>
  <si>
    <t>DMPLB48RBWRBA-STL mPower Lightbar, 48 Inch, TRI Color, Front: RBW/RBW, Rear: RBA/RBA with STEALTH LENS, Plus ENGSA5200RSR bluePRINT 500 Series Remote 200W Knob Control System, Plus Two ETSSVBK01 Brackets, Plus Two ETSS100J, 100J Speakers, Plus ENGLMK0**, bluePRINT Link Micro Kit, Plus ENGSYMD01, bluePRINT Sync Module</t>
  </si>
  <si>
    <t>RWRW_MPWR55_PATROL_PKG</t>
  </si>
  <si>
    <t>DMPLB55DDKK mPower Lightbar, 55 Inch, Dual Color, Front: RW/RW, Rear: RA/RA, Plus ENGSA5200RSR bluePRINT 500 Series Remote 200W Knob Control System, Plus Two ETSSVBK01 Brackets, Plus Two ETSS100J, 100J Speakers, Plus ENGLMK0**, bluePRINT Link Micro Kit, Plus ENGSYMD01, bluePRINT Sync Module</t>
  </si>
  <si>
    <t>RWRW_MPWR48_PATROL_PKG</t>
  </si>
  <si>
    <t>DMPLB48DDKK mPower Lightbar, 48 Inch, Dual Color, Front: RW/RW, Rear: RA/RA, Plus ENGSA5200RSR bluePRINT 500 Series Remote 200W Knob Control System, Plus Two ETSSVBK01 Brackets, Plus Two ETSS100J, 100J Speakers, Plus ENGLMK0**, bluePRINT Link Micro Kit, Plus ENGSYMD01, bluePRINT Sync Module</t>
  </si>
  <si>
    <t>RWRW_MPWR55_PATROL_LP_PKG</t>
  </si>
  <si>
    <t>DMPLB55DDKK-STL mPower Lightbar, 55 Inch, Dual Color, Front: RW/RW, Rear: RA/RA with STEALTH LENS, Plus ENGSA5200RSR bluePRINT 500 Series Remote 200W Knob Control System, Plus Two ETSSVBK01 Brackets, Plus Two ETSS100J, 100J Speakers, Plus ENGLMK0**, bluePRINT Link Micro Kit, Plus ENGSYMD01, bluePRINT Sync Module</t>
  </si>
  <si>
    <t>RWRW_MPWR48_PATROL_LP_PKG</t>
  </si>
  <si>
    <t>DMPLB48DDKK-STL mPower Lightbar, 48 Inch, Dual Color, Front: RW/RW, Rear: RA/RA with STEALTH LENS, Plus ENGSA5200RSR bluePRINT 500 Series Remote 200W Knob Control System, Plus Two ETSSVBK01 Brackets, Plus Two ETSS100J, 100J Speakers, Plus ENGLMK0**, bluePRINT Link Micro Kit, Plus ENGSYMD01, bluePRINT Sync Module</t>
  </si>
  <si>
    <t>RWBW_NXT54_PATROL_PKG</t>
  </si>
  <si>
    <t>RWBW_NXT48_PATROL_PKG</t>
  </si>
  <si>
    <t>BWBW_NXT54_PATROL_PKG</t>
  </si>
  <si>
    <t>BWBW_NXT48_PATROL_PKG</t>
  </si>
  <si>
    <t>RWRW_NXT54_FIRE_PKG</t>
  </si>
  <si>
    <t>RWRW_NXT48_FIRE_PKG</t>
  </si>
  <si>
    <t xml:space="preserve"> FRONT / REAR INTERIOR LIGHTBARS -2021-2025 TAHOE </t>
  </si>
  <si>
    <t>RWBW_NFILB_SLICK_TAH_PKG</t>
  </si>
  <si>
    <t>DFILB8TAH21DE NFORCE INTERIOR BAR, FRONT, 8 Module, 2021-25 TAHOE, Dual Color, RW/BW, Plus ENFWB***** NFORCE INTERIOR BAR, REAR, 8 Module, 2021-25 TAHOE, Dual Color, RA/BA w/BTT MODS, Plus Plus ENGSA5200RSR bluePRINT 500 Series Remote 200W Knob Control System, Plus Two ETSSVBK01 Brackets, Plus Two ETSS100J, 100J Speakers, Plus ENGLMK0**, bluePRINT Link Micro Kit, Plus ENGSYMD01, bluePRINT Sync Module</t>
  </si>
  <si>
    <t>RWRW_NFILB_SLICK_TAH_PKG</t>
  </si>
  <si>
    <t>DFILB8TAH21DD NFORCE INTERIOR BAR, FRONT, 8 Module, 2021-25 TAHOE, Dual Color, RW/RW, Plus ENFWB***** NFORCE INTERIOR BAR, REAR, 8 Module, 2021-25 TAHOE, Dual Color, RA/RA, Plus Plus ENGSA5200RSR bluePRINT 500 Series Remote 200W Knob Control System, Plus Two ETSSVBK01 Brackets, Plus Two ETSS100J, 100J Speakers, Plus ENGLMK0**, bluePRINT Link Micro Kit, Plus ENGSYMD01, bluePRINT Sync Module</t>
  </si>
  <si>
    <t>BWBW_NFILB_SLICK_TAH_PKG</t>
  </si>
  <si>
    <t>DFILB8TAH21EE NFORCE INTERIOR BAR, FRONT, 8 Module, 2021-25 TAHOE, Dual Color, BW/BW, Plus ENFWB01F4H NFORCE INTERIOR BAR, REAR, 8 Module, 2021-25 TAHOE, Dual Color, BA/BA w/BTT MODS, Plus Plus ENGSA5200RSR bluePRINT 500 Series Remote 200W Knob Control System, Plus Two ETSSVBK01 Brackets, Plus Two ETSS100J, 100J Speakers, Plus ENGLMK0**, bluePRINT Link Micro Kit, Plus ENGSYMD01, bluePRINT Sync Module</t>
  </si>
  <si>
    <t>FRONT / REAR INTERIOR LIGHTBARS -2025+ FPIU</t>
  </si>
  <si>
    <t>RWBW_NFILB_SLICK_PIU_PKG</t>
  </si>
  <si>
    <t>DFILB6PIU25DE NFORCE INTERIOR BAR, FRONT, 6 Module,  2025+ PIU, Dual Color, RW/BW, Plus ENFWB***** NFORCE INTERIOR BAR, REAR, 6 Module, 2025+ PIU, Dual Color, RA/BA w/BTT MODS, Plus Plus ENGSA5200RSR bluePRINT 500 Series Remote 200W Knob Control System, Plus Two ETSSVBK01 Brackets, Plus Two ETSS100J, 100J Speakers, Plus ENGLMK0**, bluePRINT Link Micro Kit, Plus ENGSYMD01, bluePRINT Sync Module</t>
  </si>
  <si>
    <t>RWRW_NFILB_SLICK_PIU_PKG</t>
  </si>
  <si>
    <t>DFILB6PIU25DD NFORCE INTERIOR BAR, FRONT, 6 Module, 2025+ PIU, Dual Color, RW/RW, Plus ENFWB***** NFORCE INTERIOR BAR, REAR, 6 Module, 2025+ PIU, Dual Color, RA/RA, Plus Plus ENGSA5200RSR bluePRINT 500 Series Remote 200W Knob Control System, Plus Two ETSSVBK01 Brackets, Plus Two ETSS100J, 100J Speakers, Plus ENGLMK0**, bluePRINT Link Micro Kit, Plus ENGSYMD01, bluePRINT Sync Module</t>
  </si>
  <si>
    <t>BWBW_NFILB_SLICK_PIU_PKG</t>
  </si>
  <si>
    <t>DFILB6PIU25EE (NFORCE INTERIOR BAR, FRONT, 6 Module, 2025+ PIU, Dual Color, BW/BW) Plus,  ENFWB01PFM, NFORCE INTERIOR BAR, REAR, 6 Module,  2025+ PIU, Dual Color, BA/BA w/BTT MODS, Plus Plus ENGSA5200RSR bluePRINT 500 Series Remote 200W Knob Control System, Plus Two ETSSVBK01 Brackets, Plus Two ETSS100J, 100J Speakers, Plus ENGLMK0**, bluePRINT Link Micro Kit, Plus ENGSYMD01, bluePRINT Sync Module</t>
  </si>
  <si>
    <t>FRONT / REAR INTERIOR LIGHTBARS -2021 - 2025 DURANGO</t>
  </si>
  <si>
    <t>RWBW_NFILB_SLICK_DUR_PKG</t>
  </si>
  <si>
    <t>DFILB8DUR21DE NFORCE INTERIOR BAR, FRONT, 8 Module, 2021-25 DURANGO, Dual Color, RW/BW, ENFWB*****  NFORCE INTERIOR BAR, REAR, 8 Module, 2021-25 DURANGO, Dual Color, RA/BA w/BTT MODS, Plus Plus ENGSA5200RSR bluePRINT 500 Series Remote 200W Knob Control System, Plus Two ETSSVBK01 Brackets, Plus Two ETSS100J, 100J Speakers, Plus ENGLMK0**, bluePRINT Link Micro Kit, Plus ENGSYMD01, bluePRINT Sync Module</t>
  </si>
  <si>
    <t>RWRW_NFILB_SLICK_DUR_PKG</t>
  </si>
  <si>
    <t>DFILB8DUR21DD NFORCE INTERIOR BAR, FRONT, 8 Module, 2021-25 DURANGO, Dual Color, RW/RW, ENFWB*****  NFORCE INTERIOR BAR, REAR, 8 Module, 2021-25 DURANGO, Dual Color, RA/RA, Plus Plus ENGSA5200RSR bluePRINT 500 Series Remote 200W Knob Control System, Plus Two ETSSVBK01 Brackets, Plus Two ETSS100J, 100J Speakers, Plus ENGLMK0**, bluePRINT Link Micro Kit, Plus ENGSYMD01, bluePRINT Sync Module</t>
  </si>
  <si>
    <t>BWBW_NFILB_SLICK_DUR_PKG</t>
  </si>
  <si>
    <t>DFILB8DUR21EE NFORCE INTERIOR BAR, FRONT, 8 Module, 2021-25 DURANGO, Dual Color, BW/BW, ENFWB*****  NFORCE INTERIOR BAR, REAR, 8 Module, 2021-25 DURANGO, Dual Color, BA/BA, w/BTT MODS, Plus Plus ENGSA5200RSR bluePRINT 500 Series Remote 200W Knob Control System, Plus Two ETSSVBK01 Brackets, Plus Two ETSS100J, 100J Speakers, Plus ENGLMK0**, bluePRINT Link Micro Kit, Plus ENGSYMD01, bluePRINT Sync Module</t>
  </si>
  <si>
    <t>FRONT LIGHTBARS -2021 - 2025 F150 - INTERIOR</t>
  </si>
  <si>
    <t>RWBW_NFILB_SLICK_F150_PKG</t>
  </si>
  <si>
    <t>DFILB8F15021DE  NFORCE INTERIOR BAR, FRONT, 8 Module, 2021-25 F150, Dual Color, RW/BW, Plus Plus ENGSA5200RSR bluePRINT 500 Series Remote 200W Knob Control System, Plus Two ETSSVBK01 Brackets, Plus Two ETSS100J, 100J Speakers, Plus ENGLMK0**, bluePRINT Link Micro Kit, Plus ENGSYMD01, bluePRINT Sync Module</t>
  </si>
  <si>
    <t>RWRW_NFILB_SLICK_F150_PKG</t>
  </si>
  <si>
    <t>DFILB8F15021DD  NFORCE INTERIOR BAR, FRONT, 8 Module, 2021-25 F150, Dual Color, RW/RW, Plus Plus ENGSA5200RSR bluePRINT 500 Series Remote 200W Knob Control System, Plus Two ETSSVBK01 Brackets, Plus Two ETSS100J, 100J Speakers, Plus ENGLMK0**, bluePRINT Link Micro Kit, Plus ENGSYMD01, bluePRINT Sync Module</t>
  </si>
  <si>
    <t>BWBW_NFILB_SLICK_F150_PKG</t>
  </si>
  <si>
    <t>DFILB8F15021EE  NFORCE INTERIOR BAR, FRONT, 8 Module, 2021-25 F150, Dual Color, BW/BW, Plus Plus ENGSA5200RSR bluePRINT 500 Series Remote 200W Knob Control System, Plus Two ETSSVBK01 Brackets, Plus Two ETSS100J, 100J Speakers, Plus ENGLMK0**, bluePRINT Link Micro Kit, Plus ENGSYMD01, bluePRINT Sync Module</t>
  </si>
  <si>
    <t>FRONT LIGHTBARS -2019.5 - 2025 SILVERADO - INTERIOR</t>
  </si>
  <si>
    <t>RWBW_NFILB_SLICK_SILVR_PKG</t>
  </si>
  <si>
    <t>DFILB8SIL20DE  NFORCE INTERIOR BAR, FRONT, 8 Module, 2019.5-25 SILVERADO, Dual Color, RW/BW, Plus Plus ENGSA5200RSR bluePRINT 500 Series Remote 200W Knob Control System, Plus Two ETSSVBK01 Brackets, Plus Two ETSS100J, 100J Speakers, Plus ENGLMK0**, bluePRINT Link Micro Kit, Plus ENGSYMD01, bluePRINT Sync Module</t>
  </si>
  <si>
    <t>RWRW_NFILB_SLICK_SILVR_PKG</t>
  </si>
  <si>
    <t>DFILB8SIL20DD  NFORCE INTERIOR BAR, FRONT, 8 Module, 2019.5-25 SILVERADO, Dual Color, RW/RW, Plus Plus ENGSA5200RSR bluePRINT 500 Series Remote 200W Knob Control System, Plus Two ETSSVBK01 Brackets, Plus Two ETSS100J, 100J Speakers, Plus ENGLMK0**, bluePRINT Link Micro Kit, Plus ENGSYMD01, bluePRINT Sync Module</t>
  </si>
  <si>
    <t>BWBW_NFILB_SLICK_SILVR_PKG</t>
  </si>
  <si>
    <t>DFILB8SIL20EE NFORCE INTERIOR BAR, FRONT, 8 Module, 2019.5-25 SILVERADO, Dual Color, BW/BW, Plus Plus ENGSA5200RSR bluePRINT 500 Series Remote 200W Knob Control System, Plus Two ETSSVBK01 Brackets, Plus Two ETSS100J, 100J Speakers, Plus ENGLMK0**, bluePRINT Link Micro Kit, Plus ENGSYMD01, bluePRINT Sync Module</t>
  </si>
  <si>
    <t xml:space="preserve">FEDERAL SIGNAL LIGHTBARS </t>
  </si>
  <si>
    <t>VALR44J</t>
  </si>
  <si>
    <t xml:space="preserve">Federal Signal 44" Valor OFF AXIS Lightbar,  24 LED modules, DUAL color, takedowns, alleys, FSJOIN for full customization,  includes hook kit, Signal Master Arrow functions, cruise, and low power functions.  </t>
  </si>
  <si>
    <t>VALR51J</t>
  </si>
  <si>
    <t xml:space="preserve">Federal Signal 51" Valor VALR51, OFF AXIS Lightbar,  28 LED modules, DUAL color, takedowns, alleys, FSJOIN for full customization,  includes hook kit, Signal Master Arrow functions, cruise, and low power functions.  </t>
  </si>
  <si>
    <t>VALR51J- TRI-COLOR</t>
  </si>
  <si>
    <t xml:space="preserve">Federal Signal 51" Valor VALR51, OFF AXIS Lightbar,  28 LED modules, TRI-color, takedowns, alleys, FSJOIN for full customization,  includes hook kit, Signal Master Arrow functions, cruise, and low power functions.  </t>
  </si>
  <si>
    <t>ALGT45J-MAX</t>
  </si>
  <si>
    <t xml:space="preserve">Federal Signal 45" ALLEGIANT ALGT45,  Lightbar, 18 DUAL-color LED modules, takedowns, alleys, FSJOIN for full customization,  includes hook kit, Signal Master Arrow functions, cruise, and low power functions.  </t>
  </si>
  <si>
    <t>ALGT53J-MAX</t>
  </si>
  <si>
    <t xml:space="preserve">Federal Signal 53" ALLEGIANT ALGT53, Lightbar, 22 DUAL-color LED modules, takedowns, alleys, FSJOIN for full customization,  includes hook kit, Signal Master Arrow functions, cruise, and low power functions.  </t>
  </si>
  <si>
    <t>ALGT53J-MAX P3</t>
  </si>
  <si>
    <t>Federal Signal 53" ALLEGIANT ALGT53, Lightbar, 22 TRI-color LED modules, takedowns, alleys, FSJOIN for full customization,  includes hook kit, Signal Master Arrow functions, cruise, and low power functions. Build in SYNC module, and end cap puddle lights.</t>
  </si>
  <si>
    <t>INTG44J</t>
  </si>
  <si>
    <t xml:space="preserve">Federal Signal 44" INTEGRITY INTG44, Lightbar, 22 DUAL color LED modules, takedowns, alleys, FSJOIN for full customization,  includes hook kit, Signal Master Arrow functions, cruise, and low power functions.  </t>
  </si>
  <si>
    <t>INTG51J</t>
  </si>
  <si>
    <t xml:space="preserve">Federal Signal 51" INTEGRITY INTG51, Lightbar, 26 DUAL color LED modules, takedowns, alleys, FSJOIN for full customization,  includes hook kit, Signal Master Arrow functions, cruise, and low power functions.  </t>
  </si>
  <si>
    <t>RLNT48J</t>
  </si>
  <si>
    <t xml:space="preserve">Federal Signal 48" RELIANT RLNT48, lightbar, 22 TRI-color LED modules, takedowns, alleys, includes hook kit, Signal Master Arrow functions, cruise, and low power functions. Plug and play with Pathfinder platforms </t>
  </si>
  <si>
    <t>ALGT21-**</t>
  </si>
  <si>
    <t>Federal Signal 21" Allegiant Light bar, 10 DUAL color modules, customizable with work light, takedown, and bedlight, Select discrete hardwire or serial application.  Plug and play with Pathfinder platforms.</t>
  </si>
  <si>
    <t>FEDERAL SIGNAL INTERIOR LIGHT BARS</t>
  </si>
  <si>
    <t>SIFMJ/H - TRI</t>
  </si>
  <si>
    <t>Federal Signal SIFMS/H TRI-Color front or rear interior light bar,  includes 8 TRI-color modules with vehicle specific mounting kit for front or rear install, FSJOIN for full customization, select colors using online configurator or use catalog stock model,  plug and play with Pathfinder siren</t>
  </si>
  <si>
    <t>SIFMJP-TRI</t>
  </si>
  <si>
    <t>Federal Signal SIFMJP-TRI-Color front passenger only ILS,  includes 8 TRI-color modules with vehicle specific mounting kit for front pass install, FSJOIN for full customization, select colors using online configurator or use catalog stock model,  plug and play with Pathfinder siren</t>
  </si>
  <si>
    <t xml:space="preserve">UPGRADE YOUR ROOF or INTERIOR LIGHTBAR WITH SIREN/SPEAKER PKG BELOW      (must order (1) roof or interior light bar for package pricing) </t>
  </si>
  <si>
    <t>LB PKG 1</t>
  </si>
  <si>
    <t xml:space="preserve">ADD (1) PF200 self contained siren /rotary, one siren speaker (choice ES100C or AS124), and speaker bracket package </t>
  </si>
  <si>
    <t>LB PKG 2</t>
  </si>
  <si>
    <t xml:space="preserve">ADD (1) PF200R remote w/rotary ctrl, one siren speaker (choice ES100C or AS124), and speaker bracket package </t>
  </si>
  <si>
    <t>LB PKG 3</t>
  </si>
  <si>
    <t>ADD (1) PF200S17B remote 17-multi-color button ctrl, one siren speaker (choice ES100C or AS124), and speaker bracket package</t>
  </si>
  <si>
    <t>LB PKG 4</t>
  </si>
  <si>
    <t xml:space="preserve">ADD (1) PF200H hand-held multi-color ctrl, one siren speaker (choice ES100C or AS124), and speaker bracket package </t>
  </si>
  <si>
    <t>LB PKG 5</t>
  </si>
  <si>
    <t xml:space="preserve">ADD (1) PF200S17BRK 17- multi-color button w/rotary ctrl, one siren speaker (choice ES100C or AS124), and speaker bracket package </t>
  </si>
  <si>
    <t>LB PKG 6</t>
  </si>
  <si>
    <t xml:space="preserve">ADD (1) PF200S6/S4 -incl 6 or 4 button multi-color ctrl, one siren speaker (choice ES100C or AS124), and speaker bracket package  </t>
  </si>
  <si>
    <t>LB PKG 7</t>
  </si>
  <si>
    <t>ADD (1) PF200S21 - incl 21 button multi-color ctrl, one siren speaker (choice ES100C or AS124), and speaker bracket package</t>
  </si>
  <si>
    <t>LB PKG 8</t>
  </si>
  <si>
    <t>ADD (1) PW100H or R- Pathway 100w hand-held / remote rotary siren system, one siren speaker (choice ES100C or AS124), and speaker bracket package</t>
  </si>
  <si>
    <t>LB PKG 9</t>
  </si>
  <si>
    <t>ADD (1) PW100S6 / S4 - Pathway 100w 4 or 6 buton siern system, one siren speaker (choice ES100C or AS124), and speaker bracket package</t>
  </si>
  <si>
    <t>LB PKG 10</t>
  </si>
  <si>
    <t>LB PKG 11</t>
  </si>
  <si>
    <t>LB PKG 12</t>
  </si>
  <si>
    <t>LB PKG 13</t>
  </si>
  <si>
    <t>FEDERAL SIGNAL SIREN SYSTEMS</t>
  </si>
  <si>
    <t>PF200</t>
  </si>
  <si>
    <t>Federal Signal Pathfinder PF200, SELF-CONTAINED siren/light control system with 2-100 watt siren channel capable of dual tone siren or Rumbler siren (add RBKIT2), OBD Integration Capability</t>
  </si>
  <si>
    <t>PF200R</t>
  </si>
  <si>
    <t>Federal Signal Pathfinder PF200R,  REMOTE MOUNT siren/light control system with 2-100 watt siren channels capable of dual tone siren or Rumbler siren (add RBKIT2), OBD Integration Capability</t>
  </si>
  <si>
    <t>PF200H</t>
  </si>
  <si>
    <t>Federal Sginal Pathfinder PF200H, HANDHELD siren/light control system with 2-100 watt siren channel capable of dual tone siren or Rumbler siren (add RBKIT2),OBD Integration Capability</t>
  </si>
  <si>
    <t>PF200S17B</t>
  </si>
  <si>
    <t>Federal Signal Pathfiner PF200S17, 17-multi-color BUTTON siren/light control system with 2-100 watt siren channel capable of dual tone siren or Rumbler siren (add RBKIT2), OBD Integration Capability</t>
  </si>
  <si>
    <t>PF200S17BRK</t>
  </si>
  <si>
    <t>Federal Signal Pathfiner PF200S17BRK, 17-multi-color BUTTON w/ROTARY knob control system with 2-100 watt siren channel capable of dual tone siren or Rumbler siren (add RBKIT2), OBD Integration Capability</t>
  </si>
  <si>
    <t>PF200S21</t>
  </si>
  <si>
    <t>Federal Signal Pathfiner PF200S21, 21-multi-color BUTTON siren/light control system with 2-100 watt siren channel capable of dual tone siren or Rumbler siren (add RBKIT2), OBD Integration Capability</t>
  </si>
  <si>
    <t>PF200S4</t>
  </si>
  <si>
    <t>Federal Signal Pathfiner PF200S4, 4-BUTTON siren/light control system with 2-100 watt siren channel capable of dual tone siren or Rumbler siren (add RBKIT2), OBD Integration Capability</t>
  </si>
  <si>
    <t>PF200S6</t>
  </si>
  <si>
    <t>Federal Signal Pathfiner PF200S6, 6 -BUTTON siren/light control system with 2-100 watt siren channel capable of dual tone siren or Rumbler siren (add RBKIT2), OBD Integration Capability</t>
  </si>
  <si>
    <t>PW100H</t>
  </si>
  <si>
    <t>Federal Sginal Pathway 100w Siren system with multi-color hand-held contrller, convergence capable, flashing or steady on relays</t>
  </si>
  <si>
    <t>PW100R</t>
  </si>
  <si>
    <t>Federal Sginal Pathway 100w Siren system with remote rotary knob contrller, convergence capable, flashing or steady on relays</t>
  </si>
  <si>
    <t>PW100S6 / S4</t>
  </si>
  <si>
    <t>Federal Sginal Pathway 100w Siren system with 4 or 6 button contoller, convergence capable, flashing or steady on relays</t>
  </si>
  <si>
    <t>RUMBLER-C2</t>
  </si>
  <si>
    <t xml:space="preserve">Federal Signal RUMBLER-3 COMPACT, low frequesncy siren system with 2 low frequency speakers and amplifier.  Works with most siren platforms. </t>
  </si>
  <si>
    <t>RBKIT2-COMPACT</t>
  </si>
  <si>
    <t xml:space="preserve">Federal Signal RBKIT2-COMPACT Rumbler speakers, COMPACT size for easy moutning, low frequency siren system with 2 low frequency siren speakers.  To be used with Pathfinder integrated Rumbler AMP capability.  Includes vehicle specific or universal mounting bracket </t>
  </si>
  <si>
    <t>EXPMOD-24</t>
  </si>
  <si>
    <t>Federal Signal EXPMOD-24 output expansion module.  Includes plug and play capability, fully potted for external use, 24 steady and flasing outputs. Includes 2 isolated inputs to flash facrory LED lights. Use with Pathfinder Siren Sysems or standalone with Control head</t>
  </si>
  <si>
    <t>EXPMOD-32</t>
  </si>
  <si>
    <t>Federal Signal EXPMOD-32 output expansion module.  Includes plug and play capability, fully potted for external use, 32 steady and flasing outputs. Includes 3 isolated inputs to flash facrory LED lights. Use with Pathfinder Siren Sysems or standalone with Control head</t>
  </si>
  <si>
    <t xml:space="preserve">EXPMOD-2  </t>
  </si>
  <si>
    <t>Federal Signal EXPMOD-2,  18 solid state programmable expansion module, BCM disconnect capabilities for total control of rear OEM lighting when paired with vehicle specific taillight harness (sold separate)</t>
  </si>
  <si>
    <t>OBDCABLE-**</t>
  </si>
  <si>
    <t xml:space="preserve">Federal Signal vehicle interface cable for vehicle integraion.   Single wire connection to allow special features when installed with Pathfinder Siren.  For vehicle specigic applicaions Select from OBDCABLE-1, OBDCABLE-6, OBDCABLE-4, OBDCABLE-GMCAN, OBDCABLE-5 </t>
  </si>
  <si>
    <t>OBDCABLE16-7</t>
  </si>
  <si>
    <t xml:space="preserve">Federal Signal OBDCABLE25-2 Ford Police Interceptor Utility 2025+ vehicle interface cable for vehicle integraion.   Single wire connection to allow special features when installed with Pathfinder Siren. </t>
  </si>
  <si>
    <t>OBDCABLE25-3</t>
  </si>
  <si>
    <t>Federal Signal OBDCABLE25-3 FORD 2020 Expedition, F150, F250 vehicle interface cable for vehicle integration.  Single wire connection to allow special features when installed with Pathfinder Siren. 25" cable</t>
  </si>
  <si>
    <t>OBDCABLE6-3</t>
  </si>
  <si>
    <t xml:space="preserve">Federal Signal OBDCABLE6-3 FORD 2020 Expedition, F150, F250 vehicle interface cable for vehicle integration.  Single wire connection to allow special features when installed with Pathfinder Siren. 6" cable </t>
  </si>
  <si>
    <t>OBDCABLE25-DGCAN</t>
  </si>
  <si>
    <t>Federal Signal OBDCABLE25-DGCAN 2018+ Dodge Charger, Durango, RAM vehicle interface cable for vehicle integration.  Single wire connection to allow special features when installed with Pathfinder Siren. 25" cable</t>
  </si>
  <si>
    <t>PFSYNC-1</t>
  </si>
  <si>
    <t xml:space="preserve">Federal Signal PFSYNC-1 vehicle to vehicle syncronization module.   Sync's "like" prorammed vehciles warning lights, siren tones, and VOICE MESSAGES.  Plug and Play with Pathfinder Siren platform </t>
  </si>
  <si>
    <t xml:space="preserve">Federal Signal 650003 hand held siren/light controller.  Includes horn ring transfer, 10 backlit push buttons, </t>
  </si>
  <si>
    <t>MS4000U</t>
  </si>
  <si>
    <t xml:space="preserve">Federal Signal MS4000U or MS4000, undercover 100w siren control.  Includes Wail, Yelp, Priority, and Airn Horn.  </t>
  </si>
  <si>
    <t>ES100C</t>
  </si>
  <si>
    <t xml:space="preserve">Federal Signal ES100C siren speaker.  Compact speaker with composite housing to resist corrosion.  Vehicle specific brackets available </t>
  </si>
  <si>
    <t xml:space="preserve">Federal Signal 750501 AS124 siren speaker.  Composite housing to resist corrosion.  </t>
  </si>
  <si>
    <t>FEDERAL SIGNAL PERIMETER LIGHTING</t>
  </si>
  <si>
    <t>MPS31U-*</t>
  </si>
  <si>
    <t xml:space="preserve">Federal Signal (2) MPS31U-X Micro Pulse Ultra 3.  Ultra Low Profile Single-color light head.  Can be used with internal or external flashing.  25 flash patterns, and multi unit sync or alternating.   Includes (2) light heads </t>
  </si>
  <si>
    <t>MPS32U-**</t>
  </si>
  <si>
    <t xml:space="preserve">Federal Signal (2) MPS32U-XX Micro Pulse Ultra 3.  Ultra Low Profile DUAL-color light head.  Can be used with internal or external flashing.  25 flash patterns, and multi unit sync or alternating.   Includes (2) light heads </t>
  </si>
  <si>
    <t>MPS61U-*</t>
  </si>
  <si>
    <t xml:space="preserve">Federal Signal (2) MPS61U-X Micro Pulse Ultra 6.  Ultra Low Profile Single-color light head.  Can be used with internal or external flashing.  25 flash patterns, and multi unit sync or alternating.   Includes (2) light heads </t>
  </si>
  <si>
    <t>MPS62U-**</t>
  </si>
  <si>
    <t xml:space="preserve">Federal Signal (2) MPS62U-XX Micro Pulse Ultra 6.  Ultra Low Profile DUAL-color light head.  Can be used with internal or external flashing.  25 flash patterns, and multi unit sync or alternating.   Includes (2) light heads </t>
  </si>
  <si>
    <t>MPS63U-***</t>
  </si>
  <si>
    <t xml:space="preserve">Federal Signal (2) MPS62U-XXX Micro Pulse Ultra 6.  Ultra Low Profile TRI-color light head.  Can be used with internal or external flashing.  25 flash patterns, and multi unit sync or alternating.   Includes (2) light heads </t>
  </si>
  <si>
    <t>MPS122U-**</t>
  </si>
  <si>
    <t xml:space="preserve">Federal Signal (2) MPS122U-XX Micro Pulse Ultra 12.  Ultra Low Profile DUAL-color dual stack, light head.  Can be used with internal or external flashing.  25 flash patterns, and multi unit sync or alternating.   Includes (2) light heads </t>
  </si>
  <si>
    <t>MPS123U-***</t>
  </si>
  <si>
    <t xml:space="preserve">Federal Signal (2) MPS123U-XXX Micro Pulse Ultra 12.  Ultra Low Profile TRI-color dual stack, light head.  Can be used with internal or external flashing.  25 flash patterns, and multi unit sync or alternating.   Includes (2) light heads </t>
  </si>
  <si>
    <t>MPS652-**</t>
  </si>
  <si>
    <t xml:space="preserve">Federal Signal (2) MPS652-X Micro Pulse hood/grill mount with DUAL color, multiple mounting options, multi unit SYNC/alternate, Includes (2) light heads </t>
  </si>
  <si>
    <t>MPSW9-***</t>
  </si>
  <si>
    <t>Federal Signal (2) MPSW9-*** Micro Pulse WIDE Angle, TRI-color, light head convers 180 degree light spread, Includes (2) light heads</t>
  </si>
  <si>
    <t>MPSW9-***-SMK</t>
  </si>
  <si>
    <t xml:space="preserve">Federal Signal (2) MPSW9-*** Micro Pulse WIDE Angle, SMOKED LENS, TRI-color, Covers 180 degree light spread, Includes (2) Light Heads </t>
  </si>
  <si>
    <t>MPSWP-***</t>
  </si>
  <si>
    <t xml:space="preserve">Federal Signal (2) MPSW9X-*** Micro Pulse WIDE Angle PRO, Covers 180 degree light spread, includes PUDDLE light feature, Includes (2) Light Heads </t>
  </si>
  <si>
    <t>MPSWP-***-SMK</t>
  </si>
  <si>
    <t xml:space="preserve">Federal Signal (2) MPSW9X-*** Micro Pulse WIDE Angle PRO, SMOKED LENS, Covers 180 degree light spread, includes PUDDLE light feature, Includes (2) Light Heads </t>
  </si>
  <si>
    <t>MPSC-X</t>
  </si>
  <si>
    <t xml:space="preserve">Federal Signal (2) MPSC-X Micro Pulse C-Series, Single color, includes surface mount bezel and Stud mount bezel for use with Ford grill pop out.  27 flash patterns and multi unit Sync/alternate, Includes (2) light heads </t>
  </si>
  <si>
    <t>MPSC2-XX</t>
  </si>
  <si>
    <t xml:space="preserve">Federal Signal (2) MPSC2-X Micro Pulse C-Series, DUAL color, includes surface mount bezel and Stud mount bezel for use with Ford grill pop out.  27 flash patterns and multi unit Sync/alternate, includes (2) light heads </t>
  </si>
  <si>
    <t>MPSC2X-XX</t>
  </si>
  <si>
    <t>416912-*</t>
  </si>
  <si>
    <t xml:space="preserve">Federal Signal  416912* Corner LED system, single color, multi unit SYNC/Alternate, Includes (2) light heads </t>
  </si>
  <si>
    <t>416918-***</t>
  </si>
  <si>
    <t xml:space="preserve">Federal Signal (2)  416918-*** Corner LED system, TRI-color, each color individually selectable, multi unit SYNC/Alternate, steady burn or internal flash capabilties,  Includes (2) light heads </t>
  </si>
  <si>
    <t>416303-*</t>
  </si>
  <si>
    <t xml:space="preserve">Federal Signal (2)  416303-* Flush mount with included gromet single color.  External or internal flash capabilities, Includes (2) light heads.  </t>
  </si>
  <si>
    <t>416309-***</t>
  </si>
  <si>
    <t xml:space="preserve">Federal Signal (2) 416309-*** Flush mount with included gromet TRI-color. External or internal flash capabilities,  Includes (2) light heads.  </t>
  </si>
  <si>
    <t>416309-***-SMK</t>
  </si>
  <si>
    <t xml:space="preserve">Federal Signal (2) 416309-*** SMOKED LENS, Flush mount with included gromet TRI-color. External or internal flash capabilities,  Includes (2) light heads.  </t>
  </si>
  <si>
    <t>ELSD-******</t>
  </si>
  <si>
    <t xml:space="preserve">Federal Signal Micro Pulse D-PILLAR warning light system - includes vehicle specific D-pillar shrouds, brackes, harnesses, 24-port expansion, and (6) TRI-color Micro Pulse lights.  Choose your vehicle model and color combination.  </t>
  </si>
  <si>
    <t xml:space="preserve">FEDERAL SIGNAL LIGHT STICKS / RUNNING BOARD </t>
  </si>
  <si>
    <t>DR6-***</t>
  </si>
  <si>
    <t>Federal Signal DR6** 6' Running board light, Fully poted to withstand harsh elements, TRI-color with individual control of each individual module, flash single, dual, or tri-color functions. (Single Item)</t>
  </si>
  <si>
    <t>DR5-***</t>
  </si>
  <si>
    <t>Federal Signal DR5** 5' Running board light, Fully poted to withstand harsh elements, TRI-color with individual control of each individual module, flash single, dual, or tri-color functions. (Single Item)</t>
  </si>
  <si>
    <t>DR6-***-SMK</t>
  </si>
  <si>
    <t>DR5-***-SMK</t>
  </si>
  <si>
    <t>CNSM8R-SOLO</t>
  </si>
  <si>
    <t xml:space="preserve">Federal Signal CNSM8R,  8-head single color modules, with Signal Master arrow capability, plug and play with Pathfinder siren, FSJOIN technology for full customization, </t>
  </si>
  <si>
    <t xml:space="preserve">CNSM8R-DUAL </t>
  </si>
  <si>
    <t xml:space="preserve">Federal Signal CNSM8R,  8-head DUAL color modules, with Signal Master arrow capability, plug and play with Pathfinder siren, FSJOIN technology for full customization, </t>
  </si>
  <si>
    <t xml:space="preserve">CNSM4F-DUAL </t>
  </si>
  <si>
    <t xml:space="preserve">Federal Signal CNSM4F,  4-head DUAL color modules, with Signal Master arrow capability, plug and play with Pathfinder siren, FSJOIN technology for full customization, </t>
  </si>
  <si>
    <t>XSM1-XXX-US</t>
  </si>
  <si>
    <t xml:space="preserve">Federal sIgnal XSM1-XXX-US Xstream light head,  TRI-Color with single head dash light, incluides (3) different length flash guards, suction cups, and bail brackets.  Use with internal or external flasher.  Includes (2) ligtht heads </t>
  </si>
  <si>
    <t>XSM2-XXX-US</t>
  </si>
  <si>
    <t xml:space="preserve">Federal sIgnal XSM2-XXX-US Xstream light head,  TRI-Color with DUAL-head dash light, incluides (3) different length flash guards, suction cups, and bail brackets.  Use with internal or external flasher.  Includes (2) ligtht heads </t>
  </si>
  <si>
    <t xml:space="preserve">FEDERAL SIGNAL PUSH BUMPER SERIES </t>
  </si>
  <si>
    <t>DFC-PB-FPIU20</t>
  </si>
  <si>
    <t>Federal Signal DFC-PB-FPIU25 push bumper for 2025+ Ford Police Interceptor SUV.  Choose blank top channel, (2) ligtht top channel, or (4) light top channel (additional).  Lights sold separately. 4-guage steel uprights. For 2025+ order (1) shim kit (Z806203214B) at no additional cost.</t>
  </si>
  <si>
    <t>DFC-PB-FRD21</t>
  </si>
  <si>
    <t>Federal Signal DFC-PB-FRD21 push bumper for 2021+ Ford F150 Responder.  Choose blank top channel, (2) ligtht top channel, or (4) light top channel (additional).  Lights sold separately.  Pre-drilled for adding PIT bars, includes black stainless steel hardware, 4-guage steel uprights</t>
  </si>
  <si>
    <t>DFC-PB-TAH21</t>
  </si>
  <si>
    <t>Federal Signal DFC-PB-TAH21 push bumper for 2021+ Chevy Tahoe.  Choose blank top channel, (2) ligtht top channel, or (4) light top channel (additional)  Lights sold separately.  Pre-drilled for adding PIT bars, includes black stainless steel hardware, 4-guage steel uprights</t>
  </si>
  <si>
    <t>DFC-PB-DUR21</t>
  </si>
  <si>
    <t>Federal Signal DFC-PB-DUR21 push bumper for 2021+ Dodge Durango.  Choose blank top channel, (2) ligtht top channel, or (4) light top channel (additional).  Lights sold separately.  Pre-drilled for adding PIT bars, includes black stainless steel hardware, 4-guage steel uprights</t>
  </si>
  <si>
    <t>DFC-TC-***</t>
  </si>
  <si>
    <t xml:space="preserve">Federal Signal DFC-TC-*** top cahnnel for Federal Signal push bumpers.  Choose from blank, two light, or four light top channel.  </t>
  </si>
  <si>
    <t>DFC-WC-***</t>
  </si>
  <si>
    <t xml:space="preserve">Federal Signal DFC-WC-*** wire covers for DFC push bumpers </t>
  </si>
  <si>
    <t xml:space="preserve">DFC-SB-ES100C </t>
  </si>
  <si>
    <t>Federal Signal DFC-SB-ES100C - install bracket for (1) ES100C behind bumper mid-rail. Easy service, maximizes speaker performance forward.</t>
  </si>
  <si>
    <t xml:space="preserve">FEDERAL SIGNAL ACCESSORIES </t>
  </si>
  <si>
    <t xml:space="preserve">MB1 </t>
  </si>
  <si>
    <t>Federal Signal MB1 Message Board.  Public safety messaging system incoroprated LED message display board suitable for interior or exterior mounting.  Contol head for activating pre-loaded messages, programming software to allow administrator to create custom messages.  Available in BLUE, GREEN, or AMBER</t>
  </si>
  <si>
    <t>FHL-CHG</t>
  </si>
  <si>
    <t xml:space="preserve">Federal Signal FHL-CHG flasher for LED halo lighting </t>
  </si>
  <si>
    <t xml:space="preserve">FHL-HL </t>
  </si>
  <si>
    <t xml:space="preserve">Federal Signal FHL-HL flasher for positive side switched systems, 18" sire leads </t>
  </si>
  <si>
    <t xml:space="preserve">FHL-TAIL </t>
  </si>
  <si>
    <t xml:space="preserve">Federal Singal FHL-TAIL Flasher for tailight universal applications.  </t>
  </si>
  <si>
    <t>COM3SRWC</t>
  </si>
  <si>
    <t xml:space="preserve">Federal sIngal COM3SRWC compartment lighting, 3" round surface mount,. (3) WHITE LED's and (3) RED LED's </t>
  </si>
  <si>
    <t>COMIT5-W</t>
  </si>
  <si>
    <t xml:space="preserve">Federal Signal COMINT5-W Commander Interior 5" light.  Low profile surface mount with polycarbonate clear lens. </t>
  </si>
  <si>
    <t>795H-EXTB-D/P</t>
  </si>
  <si>
    <t xml:space="preserve">Federal Signal 795H-EXTB-D/P Infrared Opticom pre-emption emitter.  Intalls with Federal Signal light bars </t>
  </si>
  <si>
    <t>794-AH</t>
  </si>
  <si>
    <t xml:space="preserve">Federal Signal 794-AH infrared LED emitter, suitable for external use, </t>
  </si>
  <si>
    <t>ICS43-SQ</t>
  </si>
  <si>
    <t>Federal Signal ICON series 2700Lumen work light, effective flood light solution, stainess steel bracket, 3-year warranty</t>
  </si>
  <si>
    <t>ICSPL13-AW</t>
  </si>
  <si>
    <t>Federal Signal ICON series 4202 Lumen wiork light, 13" length, effective flood light solution, niversal bracket, die-cast housing</t>
  </si>
  <si>
    <t>ICSPL21-AW</t>
  </si>
  <si>
    <t>Federal Signal ICON series 6475 Lumen wiork light, 21" length, effective flood light solution, niversal bracket, die-cast housing</t>
  </si>
  <si>
    <t>COM7-*</t>
  </si>
  <si>
    <t>Federal Signal COM7 SCENE light with 1400 Lumen and 5-year warranty</t>
  </si>
  <si>
    <t>COM9-*</t>
  </si>
  <si>
    <t>Federal Signal COM9 SCENE light with 1730 Lumen, die-cast aluminum housing, and 5-year warranty</t>
  </si>
  <si>
    <t>PBW-SYSTEM</t>
  </si>
  <si>
    <t xml:space="preserve">Federal Sginal PBW-SYSTEM radar detection system with 25' radius detection. Customizable alerts to keep distracted officers safe.  Incldues 6 sensors and 2 wire harnesses.  Vehicle specific brackets additional. </t>
  </si>
  <si>
    <t>COVERT52MX-TC</t>
  </si>
  <si>
    <t>Code3, Covert Matrix, 16-Series, 52", Three Color Full Sized Lightbar</t>
  </si>
  <si>
    <t>COVERT52MX-DC</t>
  </si>
  <si>
    <t>Code3, Covert Matrix, 16-Series, 52", Dual Color Full Sized Lightbar</t>
  </si>
  <si>
    <t>27SERIESMATRIX52</t>
  </si>
  <si>
    <t>Code3, 27 Series,  52” Dual Color LED Lightbar, Matrix-Enabled, includes (16) Dual Color LED modules,  2 LED alley lights with vehicle mounting kit</t>
  </si>
  <si>
    <t>PURSUIT53MX</t>
  </si>
  <si>
    <t>Code3, PURSUIT Lightbar, 25 Series,  53", Dual Level, fully programable lighting sytem, includes 18 upper level and 18 lower level single color led modules and vehicle mounting kit</t>
  </si>
  <si>
    <t>39-3000*-CM</t>
  </si>
  <si>
    <t>Code 3 Thin SuperVisor Flex, Serial,  Universal Housing (mounting kits sold separately)  Model #39-3000*-CM (Pair)</t>
  </si>
  <si>
    <t>42-3TRBA-CM</t>
  </si>
  <si>
    <t>Code 3 - CITADEL, MATRIX, TAHOE 2021+, RED/BLU/AMB</t>
  </si>
  <si>
    <t>42-3PRBA-CM</t>
  </si>
  <si>
    <t>Code 3 - CITADEL, MATRIX, PIU 2020+, RED/BLU/AMB</t>
  </si>
  <si>
    <t>HB915**</t>
  </si>
  <si>
    <t>Code 3 Hide a Blast Utility Hide a Way any Colors</t>
  </si>
  <si>
    <t>MR6MC-**</t>
  </si>
  <si>
    <t>Code3 MR6 Dual Color Light Heads</t>
  </si>
  <si>
    <t>Code3 MR6 Tri Color Light Heads</t>
  </si>
  <si>
    <t>XTP4MCxx</t>
  </si>
  <si>
    <t>Code3 XTP Surface mount light head 8 diode Multi-Color</t>
  </si>
  <si>
    <t>XTP4DSMC**</t>
  </si>
  <si>
    <t>Code3 XTP Surface mount light head 8 Diode Multi-Color</t>
  </si>
  <si>
    <t>XTP6MC**</t>
  </si>
  <si>
    <t>Code3 XTP Surface mount light head 12 diode Multi-Color</t>
  </si>
  <si>
    <t>M180SMC-**-SB</t>
  </si>
  <si>
    <t>Code3 M180 Multi Color Interior section/takedown/puddle light, center section LED multi-color</t>
  </si>
  <si>
    <t>CD5051**</t>
  </si>
  <si>
    <t>Code3 5150 Dual-color, surface and grille mount</t>
  </si>
  <si>
    <t>CD3794**</t>
  </si>
  <si>
    <t>Code3 - Directional 12 LEDs, flexible, surface mount, dual color</t>
  </si>
  <si>
    <t>MTS626MC-****</t>
  </si>
  <si>
    <t>Code3 Megathin Stick, multi color 26", 6 Dual Color LED lightheads, 16"</t>
  </si>
  <si>
    <t>MTS835MC-****</t>
  </si>
  <si>
    <t>Code3 Megathin Stick, multi color 35", 8 Dual Color LED lightheads, 16"</t>
  </si>
  <si>
    <t>C3RNR-60*-**</t>
  </si>
  <si>
    <t>Code3 60" Running Board Light, Dual Color</t>
  </si>
  <si>
    <t>C3RNR-72*-**</t>
  </si>
  <si>
    <t>Code3 72" Running Board Light, Dual Color</t>
  </si>
  <si>
    <t>CW0410-WR</t>
  </si>
  <si>
    <t>Code3 5.4" Interior compartment light, red and white leds w/switch</t>
  </si>
  <si>
    <t>CW0401-WR</t>
  </si>
  <si>
    <t>Code3 11.8" Interior compartment light, red and white leds w/switch</t>
  </si>
  <si>
    <t>CW0402-WR</t>
  </si>
  <si>
    <t>Code3 17.7" Interior compartment light, red and white leds w/switch</t>
  </si>
  <si>
    <t>CD5051VDL*-**</t>
  </si>
  <si>
    <t>Code3 5150 Dual-color, Directional/Dash, Visor, Deck</t>
  </si>
  <si>
    <t>Code 3 Sirens</t>
  </si>
  <si>
    <t>Z3SX*</t>
  </si>
  <si>
    <t>Code3  Z3 MATRIX Siren, Z3 Serial w/ Banshee Built-In, Push or Rotary Control Head</t>
  </si>
  <si>
    <t>Code3 Banshee Dual Tone and low frequency Siren amplifier (does not include additional speaker)</t>
  </si>
  <si>
    <t>3599L5</t>
  </si>
  <si>
    <t>Code3 H2 Covert hand held remote siren and light controller</t>
  </si>
  <si>
    <t>GOLIGHT-PIU_SL_DVR</t>
  </si>
  <si>
    <t>Soundoff Signal EWL9111SL Golight® SL Remote Control Spotlight, Driver Side, Dash Control included, Plus PWLHN004 Golight® SL Dash Control Harness, use with bluePRINT® 500 Series Siren, Plus PWLBK001 Golight® SL Bracket, Driver Side Mount on Ford PI Utility 2020-2025</t>
  </si>
  <si>
    <t>GOLIGHT_TAH_SL_DVR</t>
  </si>
  <si>
    <t>GOLIGHT_DUR_SL_DVR</t>
  </si>
  <si>
    <t>Soundoff Signal EWL9111SL Golight® SL Remote Control Spotlight, Driver Side, Dash Control included, Plus PWLHN004 Golight® SL Dash Control Harness, use with bluePRINT® 500 Series Siren, Plus PWLBK008 Golight® SL Bracket, Black, Driver Side Mount for use on Dodge Durango 2018-2025, Plus PWLTP003 Golight® SL Template, Driver Side for use on Dodge Durango 2018-2025 (to prepare vehicles for bracketry)</t>
  </si>
  <si>
    <t>C3900U</t>
  </si>
  <si>
    <t>C3900 speaker with universal "U" bracket</t>
  </si>
  <si>
    <t>Gamber-Johnson Consoles</t>
  </si>
  <si>
    <t>7160-1446</t>
  </si>
  <si>
    <t>Ford Police Interceptor Utility low profile console box</t>
  </si>
  <si>
    <t>7160-1334</t>
  </si>
  <si>
    <t>Ford Police Interceptor Utility Standard console box</t>
  </si>
  <si>
    <t>7160-1335</t>
  </si>
  <si>
    <t>Ford Police Interceptor Utility Short console box</t>
  </si>
  <si>
    <t>7170-0822-00</t>
  </si>
  <si>
    <t>Ford Police Interceptor Utility Full Depth Console w sidemount, side armrest, dual cup holder</t>
  </si>
  <si>
    <t>7160-1626</t>
  </si>
  <si>
    <t>Ford F-150 Wide Body console box</t>
  </si>
  <si>
    <t>7170-1077-00</t>
  </si>
  <si>
    <t>Ford F-150 Wide Body to narrow console box</t>
  </si>
  <si>
    <t>7160-1892-01</t>
  </si>
  <si>
    <t>Ford F-150 Wide Body to narrow console box with integrated printer</t>
  </si>
  <si>
    <t>7160-1566</t>
  </si>
  <si>
    <t>2021-2024 Chevy Tahoe Wide Body console box</t>
  </si>
  <si>
    <t>7160-2022</t>
  </si>
  <si>
    <t>2025+ Chevy Wide Body console box</t>
  </si>
  <si>
    <t>7160-2022-01</t>
  </si>
  <si>
    <t>2025+ Chevy Wide Body console box with integrated printer</t>
  </si>
  <si>
    <t>7160-1896</t>
  </si>
  <si>
    <t>2019+ Chevy Silverado Wide Body console box</t>
  </si>
  <si>
    <t>7160-1627</t>
  </si>
  <si>
    <t>Dodge Durango Console Box</t>
  </si>
  <si>
    <t>7170-1006-00</t>
  </si>
  <si>
    <t>Universal Wide Body console with locking storage</t>
  </si>
  <si>
    <t>Gamber-Johnson Console Accessories</t>
  </si>
  <si>
    <t>7160-0429</t>
  </si>
  <si>
    <t>Rear external flip up armrest</t>
  </si>
  <si>
    <t>7160-1817</t>
  </si>
  <si>
    <t>Tall external flip up armrest</t>
  </si>
  <si>
    <t>7110-1013</t>
  </si>
  <si>
    <t>Side mount armrest</t>
  </si>
  <si>
    <t>7160-0524</t>
  </si>
  <si>
    <t>External Break away slide and flip armrest</t>
  </si>
  <si>
    <t>7160-0430</t>
  </si>
  <si>
    <t>External Printer Mounted armrest</t>
  </si>
  <si>
    <t>7160-0846</t>
  </si>
  <si>
    <t>Internal dual cupholder</t>
  </si>
  <si>
    <t>Dual USB power port</t>
  </si>
  <si>
    <t>7160-0063</t>
  </si>
  <si>
    <t>Aux 12V Cig power plug</t>
  </si>
  <si>
    <t>USB-A &amp; USB-C Extension and mount</t>
  </si>
  <si>
    <t>7300-0728</t>
  </si>
  <si>
    <t>Shut Down Timer - GJ/Lind</t>
  </si>
  <si>
    <t>Gamber-Johnson Motion Attachments, Mounts, and Pedestal Kits</t>
  </si>
  <si>
    <t>7160-0220</t>
  </si>
  <si>
    <t>9" Mongoose motion arm with clevis</t>
  </si>
  <si>
    <t>7160-0928</t>
  </si>
  <si>
    <t>9" Mongoose motion arm with short tilt clevis</t>
  </si>
  <si>
    <t>7160-2000-09</t>
  </si>
  <si>
    <t>9" Mongoose XLE motion arm</t>
  </si>
  <si>
    <t>7160-2000-07</t>
  </si>
  <si>
    <t>7" Mongoose XLE motion arm</t>
  </si>
  <si>
    <t>7160-2000-12</t>
  </si>
  <si>
    <t>12" Mongoose XLE motion arm</t>
  </si>
  <si>
    <t>7170-0814-02</t>
  </si>
  <si>
    <t>2020+ Ford Police Interceptor Utility full pedestal kit</t>
  </si>
  <si>
    <t>7170-0236</t>
  </si>
  <si>
    <t>Ford F-150 full pedestal kit</t>
  </si>
  <si>
    <t>7170-0865-01</t>
  </si>
  <si>
    <t>2021+ Chevy Tahoe full pedestal kit</t>
  </si>
  <si>
    <t>7170-0783-02</t>
  </si>
  <si>
    <t>2019+ Chevy Silverado full pedestal kit</t>
  </si>
  <si>
    <t>7170-0841-02</t>
  </si>
  <si>
    <t>Dodge Durango full pedestal kit</t>
  </si>
  <si>
    <t>7160-1973</t>
  </si>
  <si>
    <t>2025+ Ford Police Interceptor Utility on dash mount</t>
  </si>
  <si>
    <t>7160-1337</t>
  </si>
  <si>
    <t>Close to dash mount - Mid Size</t>
  </si>
  <si>
    <t>7160-1010</t>
  </si>
  <si>
    <t>Close to dash mount - Full size</t>
  </si>
  <si>
    <t>7160-1724</t>
  </si>
  <si>
    <t>Ford F-150 top of dash mount</t>
  </si>
  <si>
    <t>7160-1657</t>
  </si>
  <si>
    <t>Dodge Ram top of dash mount</t>
  </si>
  <si>
    <t>Gamber-Johnson Universal Cradles &amp; Docking Stations</t>
  </si>
  <si>
    <t>7160-0250-**</t>
  </si>
  <si>
    <t>Notepad 5 Universal computer cradle - Heavy duty</t>
  </si>
  <si>
    <t>7160-1870-**</t>
  </si>
  <si>
    <t>Universal computer cradle - Notepad 6</t>
  </si>
  <si>
    <t>7160-1993-00</t>
  </si>
  <si>
    <t>Universal USB-C tablet docking station - iPads</t>
  </si>
  <si>
    <t>7160-0577-00</t>
  </si>
  <si>
    <t>Panasonic Toughbook 55 Docking Station</t>
  </si>
  <si>
    <t>7160-0577-02</t>
  </si>
  <si>
    <t>Panasonic Toughbook 55 Docking Station with RF passthrough</t>
  </si>
  <si>
    <t>7300-0373-00</t>
  </si>
  <si>
    <t xml:space="preserve">Panasonic Toughbook 55 Docking Station - Premium Trimline aluminum dock </t>
  </si>
  <si>
    <t>7300-0373-02</t>
  </si>
  <si>
    <t xml:space="preserve">Panasonic Toughbook 55 Docking Station - Premium Trimline aluminum dock with RF passthrough </t>
  </si>
  <si>
    <t>7160-0907-00</t>
  </si>
  <si>
    <t>Panasonic Toughbook 33 Tablet docking Station</t>
  </si>
  <si>
    <t>7160-0907-02</t>
  </si>
  <si>
    <t>Panasonic Toughbook 33 Tablet docking Station with RF passthrough</t>
  </si>
  <si>
    <t>7300-0196-20</t>
  </si>
  <si>
    <t>Panasonic Toughbook 33 Tablet docking Station - Premium Trimline aluminum dock</t>
  </si>
  <si>
    <t>7300-0196-22</t>
  </si>
  <si>
    <t xml:space="preserve">Panasonic Toughbook 33 Tablet docking Station - Premium Trimline aluminum dock with RF passthrough </t>
  </si>
  <si>
    <t>7160-0909-00</t>
  </si>
  <si>
    <t>Panasonic Toughbook 33 Laptop docking Station</t>
  </si>
  <si>
    <t>7160-0909-02</t>
  </si>
  <si>
    <t>Panasonic Toughbook 33 Laptop docking Station with RF passthrough</t>
  </si>
  <si>
    <t>7300-0387-00</t>
  </si>
  <si>
    <t>Panasonic Toughbook 33 Laptop docking Station - Premium Trimline aluminum dock</t>
  </si>
  <si>
    <t>7300-0387-02</t>
  </si>
  <si>
    <t xml:space="preserve">Panasonic Toughbook 33 Laptop docking Station - Premium Trimline aluminum dock with RF passthrough </t>
  </si>
  <si>
    <t>7300-0197</t>
  </si>
  <si>
    <t>Lind 120 W power supply adapter with indicator light - For most Panasonic docking stations</t>
  </si>
  <si>
    <t>7160-1584-00</t>
  </si>
  <si>
    <t>Getac F110 Docking Station</t>
  </si>
  <si>
    <t>7160-1584-03</t>
  </si>
  <si>
    <t>Getac F110 Docking Station with Tri RF passthrough</t>
  </si>
  <si>
    <t>7300-0659</t>
  </si>
  <si>
    <t>Lind 120 W power supply adapter - For Getac F110</t>
  </si>
  <si>
    <t>7160-1982-10</t>
  </si>
  <si>
    <t>Dell Rugged Laptop docking station</t>
  </si>
  <si>
    <t>7160-1982-03</t>
  </si>
  <si>
    <t>Dell Rugged Laptop docking station with Tri RF passthrough</t>
  </si>
  <si>
    <t>7160-1772-10</t>
  </si>
  <si>
    <t>Dull Rugged 7230 Tablet docking station</t>
  </si>
  <si>
    <t>7160-1772-14</t>
  </si>
  <si>
    <t>Dull Rugged 7230 Tablet docking station with Quad RF passthrough</t>
  </si>
  <si>
    <t>7300-0714</t>
  </si>
  <si>
    <t>Lind 120 W power supply adapter  For Dell laptop and tablet docks</t>
  </si>
  <si>
    <t xml:space="preserve">Setina Consoles  </t>
  </si>
  <si>
    <t>NK1887ITU20</t>
  </si>
  <si>
    <t>NK1888TAH21</t>
  </si>
  <si>
    <t>CONSOLE DEEP BODY KIT, 2021-2026 TAHOE</t>
  </si>
  <si>
    <t>Setina Console Accessories</t>
  </si>
  <si>
    <t>NP19822</t>
  </si>
  <si>
    <t>CONSOLE USB PORT DUAL, 2020-2026 INTERCEPTOR UTILITY</t>
  </si>
  <si>
    <t>NP19816</t>
  </si>
  <si>
    <t xml:space="preserve"> CONSOLE 12 VOLT POWER OUTLET, 2020-2026 INTERCEPTOR UTILITY </t>
  </si>
  <si>
    <t>NP19821</t>
  </si>
  <si>
    <t>CONSOLE MAP LIGHT, 2020-2026 INTERCEPTOR UTILITY</t>
  </si>
  <si>
    <t>NA19085</t>
  </si>
  <si>
    <t>STANDARD VEHICLE MOTION DEVICE ASSEMBLY STANDARD</t>
  </si>
  <si>
    <t>Havis Console with Cup Holder and Arm Rest</t>
  </si>
  <si>
    <t>C-VS-1012-INUT-2</t>
  </si>
  <si>
    <t>Havis 2020-2021 Ford Interceptor Utility High Angled Console</t>
  </si>
  <si>
    <t>C-VS-1210-INUT</t>
  </si>
  <si>
    <t>Havis 2020-2021 Ford Interceptor Utility Mid-Height Angled Console</t>
  </si>
  <si>
    <t>C-VSX-1800-INUT-PM</t>
  </si>
  <si>
    <t>Havis 2020-2021 Ford Interceptor Utility VSX Console with Front Printer Mount</t>
  </si>
  <si>
    <t>C-OHC-INUT-1</t>
  </si>
  <si>
    <t>Havis 2020-2021 Ford Interceptor Utility and Explorer Overhead Console</t>
  </si>
  <si>
    <t>C-VS-1012-TAH-1</t>
  </si>
  <si>
    <t>Havis 2021-2024 Chevrolet Tahoe Police Standard 9" Wide Medium Angled 22" Vehicle-Specific Console</t>
  </si>
  <si>
    <t>C-VSW-1012-TAH-1</t>
  </si>
  <si>
    <t>Vehicle-Specific 22″ Wide Angled Console for 2025 Chevrolet Tahoe Police Pursuit Vehicle</t>
  </si>
  <si>
    <t>C-VSX-1800-TAH-PM-1</t>
  </si>
  <si>
    <t>Havis 2025Chevrolet Tahoe Police VSX Console with Front Printer Mount</t>
  </si>
  <si>
    <t>C-VSX-1800-TAH-PM</t>
  </si>
  <si>
    <t>Havis 2021-2024 Chevrolet Tahoe Police VSX Console with Front Printer Mount</t>
  </si>
  <si>
    <t>C-VS-3000-F150-2</t>
  </si>
  <si>
    <t>Havis 2021 Ford F-150 Wide-Angled 30" Long Vehicle-Specific</t>
  </si>
  <si>
    <t>C-TMW-F150-03</t>
  </si>
  <si>
    <t>Havis 2021 Ford F-150 Tunnel Mount Assembly</t>
  </si>
  <si>
    <t>C-VS-3000-EXPD-1</t>
  </si>
  <si>
    <t>Havis 2021 Ford Expedition SSV Vehicle-Specific Console 30" Long 12.5" Wide Style Console</t>
  </si>
  <si>
    <t>C-1810</t>
  </si>
  <si>
    <t xml:space="preserve">Havis 18" Enclosed  10" High Console  </t>
  </si>
  <si>
    <t>C-2410</t>
  </si>
  <si>
    <t>Havis 24" Enclosed 10" High Console</t>
  </si>
  <si>
    <t>Havis Console Accessories</t>
  </si>
  <si>
    <t>C-ARM-103</t>
  </si>
  <si>
    <t>Havis Armrest for top mount, console, large pad</t>
  </si>
  <si>
    <t>C-ARM-108</t>
  </si>
  <si>
    <t>Havis Side mounted flip up armrest</t>
  </si>
  <si>
    <t>C-ARM-104</t>
  </si>
  <si>
    <t>Havis Tunnel Mount Arm Rest</t>
  </si>
  <si>
    <t>CUP2-1001</t>
  </si>
  <si>
    <t xml:space="preserve">Havis Internal cup holders </t>
  </si>
  <si>
    <t>C-USB-3</t>
  </si>
  <si>
    <t>Havis Dual USB charge only ports</t>
  </si>
  <si>
    <t>CG-X</t>
  </si>
  <si>
    <t>Charge Guard</t>
  </si>
  <si>
    <t>Havis Mounting Solutions</t>
  </si>
  <si>
    <t>C-DMM-3015</t>
  </si>
  <si>
    <t>Havis 2020-2025 Ford Interceptor Utility Vehicle Heavy-Duty Dash Mount</t>
  </si>
  <si>
    <t>PKG-PSM-1006</t>
  </si>
  <si>
    <t xml:space="preserve">Havis 2020-2025 Ford Interceptor Utility and Ford Retail Explorer Standard Passenger Side Mount Package </t>
  </si>
  <si>
    <t>PKG-PSM-3006</t>
  </si>
  <si>
    <t>Havis 2020-2025 Ford Interceptor Utility and Ford Retail Explorer Premium Passenger Side Mount Package</t>
  </si>
  <si>
    <t>C-DMM-3019</t>
  </si>
  <si>
    <t>Havis 2021-24 Chevrolet Tahoe Heavy-Duty Dash Mount</t>
  </si>
  <si>
    <t>PKG-PSM-1003</t>
  </si>
  <si>
    <t>Havis 2021 Chevrolet Tahoe Standard Passenger Side Mount Package</t>
  </si>
  <si>
    <t>PKG-PSM-3003</t>
  </si>
  <si>
    <t>Havis 2021 Chevrolet Tahoe Premium Passenger Side Mount Package</t>
  </si>
  <si>
    <t>PKG-PSM-185</t>
  </si>
  <si>
    <t>Havis 2015-2025 Ford F-150 Standard Passenger Side Mount Package</t>
  </si>
  <si>
    <t>PKG-PSM-385</t>
  </si>
  <si>
    <t>Havis 2015-2025 Ford F-150 Premium Passenger Side Mount Package</t>
  </si>
  <si>
    <t xml:space="preserve">C-DMM-3023  </t>
  </si>
  <si>
    <t>Havis 2021-25 Ford F-150 Vehicle Heavy-Duty Dash Mount</t>
  </si>
  <si>
    <t>C-B70</t>
  </si>
  <si>
    <t>Havis 2021-25 Ford F-150 with OEM center seat 1-Piece Front Hump Mounting Bracket</t>
  </si>
  <si>
    <t>Havis 2018-2021 Ford Expedition SSV/Retail Standard Passenger Side Mount Package</t>
  </si>
  <si>
    <t>Havis 2018-2021 Ford Expedition SSV/Retail Premium Passenger Side Mount Package</t>
  </si>
  <si>
    <t>C-DMM-3006</t>
  </si>
  <si>
    <t>Havis 2018-2021 Ford Expedition SSV/Retail Vehicle Heavy-Duty Dash Mount</t>
  </si>
  <si>
    <t>UT-1001</t>
  </si>
  <si>
    <t>Universal Rugged Cradle for approximately 11"-14" Computing Devices</t>
  </si>
  <si>
    <t>UT-2003</t>
  </si>
  <si>
    <t xml:space="preserve">Universal Rugged Cradle for approximately 9"-11" Computing Devices, with Added Depth </t>
  </si>
  <si>
    <t>UT-1001-KIT</t>
  </si>
  <si>
    <t>Replacement Kit for UT-1001 Components</t>
  </si>
  <si>
    <t>Havis Universal Cradles</t>
  </si>
  <si>
    <t>Havis K9 TRANSPORT &amp; ACCESSORIES</t>
  </si>
  <si>
    <t>K9-F28-1-B</t>
  </si>
  <si>
    <t>2020-2025 Ford Interceptor Utility Standard Black K9 Transport System</t>
  </si>
  <si>
    <t>K9-F28-XL-B</t>
  </si>
  <si>
    <t xml:space="preserve">2020-2025 Ford Interceptor Utility Extended Black K9 Transport System </t>
  </si>
  <si>
    <t>K9-C26-B</t>
  </si>
  <si>
    <t>Havis 2021-2025 Chevrolet Tahoe Standard Black K9 Transport System</t>
  </si>
  <si>
    <t>K9-C26-XL-B</t>
  </si>
  <si>
    <t>Havis 2021-2025 Chevrolet Tahoe Extended Black K9 Transport System</t>
  </si>
  <si>
    <t>K9-A-115-B</t>
  </si>
  <si>
    <t xml:space="preserve">Havis 2021-2025 Chevrolet Tahoe Dual Divider with Door For Extended K9 Transport Black </t>
  </si>
  <si>
    <t>K9-F23-1-B</t>
  </si>
  <si>
    <t>2017-2025 Ford F-Series Standard Black K9 Transport System</t>
  </si>
  <si>
    <t>K9-A-201</t>
  </si>
  <si>
    <t xml:space="preserve">K9 Transport Hot-N-Pop Unit </t>
  </si>
  <si>
    <t>K9-A-203</t>
  </si>
  <si>
    <t>K9 Transport Heat Alarm Unit-Ace K9</t>
  </si>
  <si>
    <t>K9-A-301</t>
  </si>
  <si>
    <t>K9 Transport Fan for Heat Alarm Hot-N-Pop Unit</t>
  </si>
  <si>
    <t>K9-A-336</t>
  </si>
  <si>
    <t>K9 Transport Long Range Remote Pager Option with Dual Band Antenna for Acek9 Heat Alarm And Hot-N-Pop Units</t>
  </si>
  <si>
    <t>425-6505</t>
  </si>
  <si>
    <t>Jotto PI Utility 2020+ Contour Console (20" FP - 6" top 14" bottom)</t>
  </si>
  <si>
    <t>425-6512</t>
  </si>
  <si>
    <t xml:space="preserve">Jotto PI Utility 2020+ Max Depth (20" FP) </t>
  </si>
  <si>
    <t>425-6735</t>
  </si>
  <si>
    <t>Jotto Tahoe 2025+ with Locking Lid (20"FacePlate)</t>
  </si>
  <si>
    <t>425-6524</t>
  </si>
  <si>
    <t>Jotto F-150 SSV/Police Responder 2021+ with Locking Lid (20" FP/ 28" FLP)</t>
  </si>
  <si>
    <t>Jotto Console Accessories</t>
  </si>
  <si>
    <t>425-6164</t>
  </si>
  <si>
    <t>Jotto FP Assy, 2" Blank w/ 2.1A USB x2 &amp; 12V Outlets x2</t>
  </si>
  <si>
    <t>425-3704</t>
  </si>
  <si>
    <t>Jotto 4" Dual ABS Cup Holder (Internally Mounted)</t>
  </si>
  <si>
    <t>425-2250</t>
  </si>
  <si>
    <t>Jotto Side Sliding Armrest, PI Utility 2020+</t>
  </si>
  <si>
    <t>Jotto Consoles</t>
  </si>
  <si>
    <t>Westin Public Safety Push Bumpers</t>
  </si>
  <si>
    <t>36-2125</t>
  </si>
  <si>
    <t>Westin Ford Police Intercepter Utility 2020-2025 Elite Push Bar</t>
  </si>
  <si>
    <t>36-4045</t>
  </si>
  <si>
    <t>Westin Tahoe 2021-2025 Elite Push Bar</t>
  </si>
  <si>
    <t>36-54085</t>
  </si>
  <si>
    <t>Westin F-150 2021-2025 (Excl. F150 Lightning EV)</t>
  </si>
  <si>
    <t>36-4075</t>
  </si>
  <si>
    <t>Westin Durango 2021-2025 Push Bar</t>
  </si>
  <si>
    <t>36-60****</t>
  </si>
  <si>
    <t xml:space="preserve">Westin Push Bar Warning Light Channel </t>
  </si>
  <si>
    <t>Progard Pro-Cell Prisoner Transport System</t>
  </si>
  <si>
    <t>Single Compartment, Pro-Cell, ½ Partition, w/ Passenger Side Only Outboard Seat Belts 2020 Utility</t>
  </si>
  <si>
    <t>Single Compartment, Pro-Cell, ½ Partition 2020 Utility</t>
  </si>
  <si>
    <t>Single Compartment, Pro-Cell, ½ Partition, w/ Passenger Side Only Outboard Seat Belts 2021 Tahoe</t>
  </si>
  <si>
    <t>Single Compartment, Pro-Cell, ½ Partition 2021 Tahoe</t>
  </si>
  <si>
    <t>Progard Partitions</t>
  </si>
  <si>
    <t>Space Saver Center Sliding Poly Window 2020 Utility</t>
  </si>
  <si>
    <t>Space Saver Center Sliding Poly Window 2021 Tahoe</t>
  </si>
  <si>
    <t>Center Sliding Poly Window 2020 Utility</t>
  </si>
  <si>
    <t>Center Sliding Poly Window 2021 Tahoe</t>
  </si>
  <si>
    <t>Progard Transfer Kit and Accessories - Universal Partition Only</t>
  </si>
  <si>
    <t>RP47UINT20</t>
  </si>
  <si>
    <t>Recess Panel</t>
  </si>
  <si>
    <t>SP47BS20</t>
  </si>
  <si>
    <t>Pair - Lower Extension Panels, (for use with recess panel)</t>
  </si>
  <si>
    <t>SP47FW20</t>
  </si>
  <si>
    <t>Full Width Lower Extension Panel</t>
  </si>
  <si>
    <t>Progard Rear Transport Seats</t>
  </si>
  <si>
    <t xml:space="preserve">S4702UINT20OSB-*           </t>
  </si>
  <si>
    <t>Charcoal Grey ABS, Seat w/ 1/4" Poly Window Cargo Barrier and Outboard Seat Belts 2020 Utility</t>
  </si>
  <si>
    <t xml:space="preserve">S4705UINT20OSB-*          </t>
  </si>
  <si>
    <t>Charcoal Grey ABS, Seat w/ 7 Ga. Steel Screen Window Cargo Barrier and Outboard Seat Belts 2020 Utility</t>
  </si>
  <si>
    <t>Charcoal Grey ABS, Seat w/ ¼" Poly. Window Cargo Barrier &amp; Seat Mounting Kit 2020 Utility</t>
  </si>
  <si>
    <t>Charcoal Grey ABS, Seat w/ 7 Ga. Steel Screen Window Cargo Barrier &amp; Seat Mounting Kit 2020 Utility</t>
  </si>
  <si>
    <t>S5702T21OSB</t>
  </si>
  <si>
    <t>Charcoal Grey ABS, Seat w/ 1/4" Poly Window Cargo Barrier, and OSB's 2021 Tahoe</t>
  </si>
  <si>
    <t>Charcoal Grey ABS, Seat w/ 7 Ga. Steel Screen Window Cargo Barrier, and OSB's 2021 Tahoe</t>
  </si>
  <si>
    <t>S5702T21</t>
  </si>
  <si>
    <t>Charcoal Grey ABS, Seat w/ ¼" Poly. Window Cargo Barrier 2021 Tahoe</t>
  </si>
  <si>
    <t>Charcoal Grey ABS, Seat w/ 7 Ga. Steel Screen Window Cargo Barrier 2021 Tahoe</t>
  </si>
  <si>
    <t>FP47UINT20</t>
  </si>
  <si>
    <t>Charcoal Grey ABS, Floor Pan</t>
  </si>
  <si>
    <t>Progard Cargo Barriers</t>
  </si>
  <si>
    <t>B4702UINT20</t>
  </si>
  <si>
    <t>¼" Poly, Cargo Barrier with Filler Panels (for use w/ side curtain airbags in Police Package only) 2020 Utility</t>
  </si>
  <si>
    <t>B4705UINT20</t>
  </si>
  <si>
    <t>7 Gauge Steel Wire, Cargo Barrier with Filler Panels (for use w/ side curtain airbags in Police Package only) 2020 Utility</t>
  </si>
  <si>
    <t>¼" Poly, Cargo Barrier with Filler Panels (for use in Police Package only) 2021 Tahoe</t>
  </si>
  <si>
    <t>7 Gauge Steel Wire, Cargo Barrier with Filler Panels (for use in Police Package only) 2021 Tahoe</t>
  </si>
  <si>
    <t>Progard Gun Racks</t>
  </si>
  <si>
    <t>GPC4713S-H</t>
  </si>
  <si>
    <t>Vertical Pro-cell Mount Single Weapon Tri-Lock Gun Rack w/Handcuff Key</t>
  </si>
  <si>
    <t>GPC4713D-H</t>
  </si>
  <si>
    <t>Vertical Pro-cell Mount Dual Weapon Tri-Lock Gun Rack w/Handcuff Key</t>
  </si>
  <si>
    <t>GPC-D</t>
  </si>
  <si>
    <t>Dual Weapon, Vertical Mount on Pro-Cell Half Partition (P1000 &amp; P1500 only)</t>
  </si>
  <si>
    <t>GPC-S</t>
  </si>
  <si>
    <t>Single Weapon, Vertical Mount on Pro-Cell Half Partition (P1000 &amp; P1500 only)</t>
  </si>
  <si>
    <t>GVPM-D</t>
  </si>
  <si>
    <t>Dual Weapon, Partition Mount (in partition's recessed panel)</t>
  </si>
  <si>
    <t>GVPM-S</t>
  </si>
  <si>
    <t>Single Weapon, Partition Mount (in partition's recessed panel)</t>
  </si>
  <si>
    <t>Progard Trunk Organizers</t>
  </si>
  <si>
    <t>D3805</t>
  </si>
  <si>
    <t>Black ABS, Universal Trunk Organizer 18" x 28" x 10½" High with ABS Lid</t>
  </si>
  <si>
    <t>D3825L</t>
  </si>
  <si>
    <t>Black ABS, Trunk/Cargo Organizer 45" x 30" x 11" High w/ Poly Lid and Dividers</t>
  </si>
  <si>
    <t>Progard SafeStop</t>
  </si>
  <si>
    <t>SS00****</t>
  </si>
  <si>
    <t>ANY Keyed Vehicle (NOT AVAIL FOR PUSH TO START)</t>
  </si>
  <si>
    <t>Troy Consoles</t>
  </si>
  <si>
    <t>CC-20-UV10-L8</t>
  </si>
  <si>
    <t xml:space="preserve">2020-25 PI Utility 18" console, 10" slope, 8" level (no floor plate needed, mounts directly to floor) </t>
  </si>
  <si>
    <t>CC-21TH-1015-OS</t>
  </si>
  <si>
    <t>2021-24 Tahoe | 2021-24 Suburban 25" wide body console with open storage; 10" slope,  15" level</t>
  </si>
  <si>
    <t>CC-25TH-0912-OS</t>
  </si>
  <si>
    <t>2025 Tahoe 21" wide body console with open storage; 9" slope, 12" level</t>
  </si>
  <si>
    <t>CC-21F1-0713-OS</t>
  </si>
  <si>
    <t>2021-25 F150 | 2023-25 F250 | 2023-25 F350 20" wide-body console; open storage along passenger side; 7" slope, 13" level (no floor plate needed, mounts directly to floor)</t>
  </si>
  <si>
    <t>Lund Loft Equipment</t>
  </si>
  <si>
    <t>LOFT-PIU20-GV</t>
  </si>
  <si>
    <t>Lund Loft Weapon Storage Tray Utility with Light and Timer</t>
  </si>
  <si>
    <t xml:space="preserve">LOFT-PIU20-2G        </t>
  </si>
  <si>
    <t>Lund Loft Dual Weapon Storage Tray Utility with Light and Timer</t>
  </si>
  <si>
    <t>LOFT-PIU20-NPKIT</t>
  </si>
  <si>
    <t>Lund Loft Bracket Kit for Non Cage Ford Utility</t>
  </si>
  <si>
    <t>LOFT-21TAH-GV</t>
  </si>
  <si>
    <t>Lund Loft Weapon Storage Tray Tahoe with Light and timer</t>
  </si>
  <si>
    <t>LOFT-21TAH-2G</t>
  </si>
  <si>
    <t>Lund Loft Dual Weapon Storage Tray Tahoe with Light and timer</t>
  </si>
  <si>
    <t>LOFT-21TAH-NPKIT</t>
  </si>
  <si>
    <t>Lund Loft Bracket Kit for Non Cage Chev Tahoe</t>
  </si>
  <si>
    <t>Blac-Rac Locks</t>
  </si>
  <si>
    <t>8211-*****</t>
  </si>
  <si>
    <t>Single BlacRac KIT-WRS 1082-E-AR, Electronic, 8-Second Delay, Plus as Config</t>
  </si>
  <si>
    <t>4811-*****</t>
  </si>
  <si>
    <t>Dual Blac-Rac KIT-WRS 1082-E-AR &amp; 4130-E, Electronic, 8-second delay, Plus as Config</t>
  </si>
  <si>
    <t>American Aluminum</t>
  </si>
  <si>
    <t>E/Z Rider K9 Unit</t>
  </si>
  <si>
    <t xml:space="preserve"> E/Z Rider K9 System-Platform System</t>
  </si>
  <si>
    <t>E/Z Cool Guard PRO</t>
  </si>
  <si>
    <t>American Aluminum Cool Guard PRO with Rescue Pager System</t>
  </si>
  <si>
    <t>E/Z Rider Cool Guard</t>
  </si>
  <si>
    <t>American Aluminum Cool Guard Only no Rescue Door</t>
  </si>
  <si>
    <t>E/Z R.E.S.C.U.E</t>
  </si>
  <si>
    <t xml:space="preserve">American Aluminum R.E.S.C.U.E </t>
  </si>
  <si>
    <t>E/Z Rider Pager</t>
  </si>
  <si>
    <t>American Aluminum Cool Guard Rescue Pager System</t>
  </si>
  <si>
    <t>E/Z Water Dish</t>
  </si>
  <si>
    <t>American Aluminum Water Dish</t>
  </si>
  <si>
    <t>BALLISTECH ARMOR PACKAGES</t>
  </si>
  <si>
    <t>FPIU_ARMOR</t>
  </si>
  <si>
    <t>Ford Interceptor Utility Level IIIA Glass Package, Windshield, Front Drivers Window, Front Passenger Window</t>
  </si>
  <si>
    <t>TAH_ARMOR</t>
  </si>
  <si>
    <t>Chev Tahoe Level IIIA Glass Package, Windshield, Front Drivers Window, Front Passenger Window</t>
  </si>
  <si>
    <t>FPIU_ARMOR_DOOR*</t>
  </si>
  <si>
    <t>Ford Interceptor Utility Level IIIA, Door Panel</t>
  </si>
  <si>
    <t>TAH_ARMOR_DOOR*</t>
  </si>
  <si>
    <t>Chev Tahoe Level IIIA, Door Panel</t>
  </si>
  <si>
    <t>**_ARMOR</t>
  </si>
  <si>
    <t>Custom Glass Package</t>
  </si>
  <si>
    <t>Streamlight Flashlights</t>
  </si>
  <si>
    <t>Streamlight Stinger LED</t>
  </si>
  <si>
    <t>Streamlight Stinger DS</t>
  </si>
  <si>
    <t>Streamlight Strion LED 2 Charger</t>
  </si>
  <si>
    <t>Streamlight Strion LED 1 Charger</t>
  </si>
  <si>
    <t>Streamlight E-Spot Lite Box Orange</t>
  </si>
  <si>
    <t>Streamlight Vulcan Vehicle Mount</t>
  </si>
  <si>
    <t>DSS QUICK-PICK LIGHTING PACKAGES</t>
  </si>
  <si>
    <t>DSS_BASIC_**</t>
  </si>
  <si>
    <t>$6000-$8000</t>
  </si>
  <si>
    <t>DSS_STANDARD_**</t>
  </si>
  <si>
    <t>$8000-$10000</t>
  </si>
  <si>
    <t>DSS_PREMIUM_**</t>
  </si>
  <si>
    <t>Dana Safety Supply Emergency LED Light package - 5 year warranty on all lights headlight and tail light flasher, 4 lights in grill, lights on mirrors or side cargo window, lightbar, directional stick in rear deck or cargo, siren and 2 speakers        </t>
  </si>
  <si>
    <t>$10000-$12000</t>
  </si>
  <si>
    <t xml:space="preserve">Dana Safety Supply Emergency LED Light package - 5 year warranty on all lights, 2 Grill Lights, Lightbar, 2 Lights Rear Deck/Hatch, Siren &amp; Speaker </t>
  </si>
  <si>
    <t xml:space="preserve">Dana Safety Supply Emergency LED Light package - 5 year warranty on all lights, 2 Grill  Lights on Mirrors or Side Cargo Window, Lightbar, Directional Stick in Rear Deck or Cargo, Siren &amp; Speaker </t>
  </si>
  <si>
    <t>DNXTLB54DEKM (NXT Lightbar, 54 Inch, Dual Color, Front: RW/BW, Rear: RA/BA),  Plus ENGSA5200RSR bluePRINT 500 Series Remote 200W Knob Control System, Plus Two ETSSVBK01 Brackets, Plus Two ETSS100J, 100J Speakers, Plus ENGLMK0**, bluePRINT Link Micro Kit, Plus ENGSYMD01, bluePRINT Sync Module</t>
  </si>
  <si>
    <t>DNXTLB48DEKM (NXT Lightbar, 48 Inch, Dual Color, Front: RW/BW, Rear: RA/BA), Plus ENGSA5200RSR bluePRINT 500 Series Remote 200W Knob Control System, Plus Two ETSSVBK01 Brackets, Plus Two ETSS100J, 100J Speakers, Plus ENGLMK0**, bluePRINT Link Micro Kit, Plus ENGSYMD01, bluePRINT Sync Module</t>
  </si>
  <si>
    <t>DNXTLB54EEMM (NXT Lightbar, 54 Inch, Dual Color, Front: BW/BW, Rear: BA/BA),  Plus ENGSA5200RSR bluePRINT 500 Series Remote 200W Knob Control System, Plus Two ETSSVBK01 Brackets, Plus Two ETSS100J, 100J Speakers, Plus ENGLMK0**, bluePRINT Link Micro Kit, Plus ENGSYMD01, bluePRINT Sync Module</t>
  </si>
  <si>
    <t>DNXTLB48EEMM (NXT Lightbar, 48 Inch, Dual Color, Front: BW/BW, Rear: BA/BA), Plus ENGSA5200RSR bluePRINT 500 Series Remote 200W Knob Control System, Plus Two ETSSVBK01 Brackets, Plus Two ETSS100J, 100J Speakers, Plus ENGLMK0**, bluePRINT Link Micro Kit, Plus ENGSYMD01, bluePRINT Sync Module</t>
  </si>
  <si>
    <t>DNXTLB54DDKK (NXT Lightbar, 54 Inch, Dual Color, Front: RW/RW, Rear: RA/RA), Plus ENGSA5200RSR bluePRINT 500 Series Remote 200W Knob Control System, Plus Two ETSSVBK01 Brackets, Plus Two ETSS100J, 100J Speakers, Plus ENGLMK0**, bluePRINT Link Micro Kit, Plus ENGSYMD01, bluePRINT Sync Module</t>
  </si>
  <si>
    <t>DNXTLB48DDKK (NXT Lightbar, 48 Inch, Dual Color, Front: RW/RW, Rear: RA/RA), Plus ENGSA5200RSR bluePRINT 500 Series Remote 200W Knob Control System, Plus Two ETSSVBK01 Brackets, Plus Two ETSS100J, 100J Speakers, Plus ENGLMK0**, bluePRINT Link Micro Kit, Plus ENGSYMD01, bluePRINT Sync Module</t>
  </si>
  <si>
    <t>Setina Rear Window Bars &amp; Door Panel Covers</t>
  </si>
  <si>
    <t>WK0514ITU20</t>
  </si>
  <si>
    <t>Ford PIU, 2020-2025, Vertical Steel Window Barrier</t>
  </si>
  <si>
    <t>WK0514TAH21</t>
  </si>
  <si>
    <t>Tahoe PPV, 2021-2025, Vertical Steel Window Barrier</t>
  </si>
  <si>
    <t>WK0514DUR11</t>
  </si>
  <si>
    <t>Durango, 2011-2026, Vertical Steel Window Barrier</t>
  </si>
  <si>
    <t>DK0100ITU20</t>
  </si>
  <si>
    <t>Ford PIU, 2020-2025, TPO Door Panel, Plastic Black Installs Over OEM Door Panels</t>
  </si>
  <si>
    <t>DK0100TAH21</t>
  </si>
  <si>
    <t>Tahoe, 2021-2026, TPO Door Panel, Plastic Black Installs Over OEM Door Panels</t>
  </si>
  <si>
    <t>DK0100DUR11</t>
  </si>
  <si>
    <t>Durango, 2020-2026, TPO Door Panel, Plastic Black Installs Over OEM Door Panels</t>
  </si>
  <si>
    <t>DK0100FDT21F150</t>
  </si>
  <si>
    <t>F150, 2021-2026, TPO Door Panel, Plastic Black Installs Over OEM Door Panels</t>
  </si>
  <si>
    <t>DK0598TAH21</t>
  </si>
  <si>
    <t xml:space="preserve">Tahoe, 2021-2026, Powder Coated Aluminum, Replaces OEM Door Panel </t>
  </si>
  <si>
    <t>DK0598ITU20</t>
  </si>
  <si>
    <t xml:space="preserve">Ford PIU, 2020-2026, Powder Coated Aluminum, Replaces OEM Door Panel </t>
  </si>
  <si>
    <t>DK0598FDT15F150</t>
  </si>
  <si>
    <t xml:space="preserve">Ford F150, 2025, Powder Coated Aluminum, Replaces OEM Door Panel </t>
  </si>
  <si>
    <t>PK1130ITU20TM</t>
  </si>
  <si>
    <t xml:space="preserve">Ford Utility, 2020-2025, XL Tall Man Partition, Horizontal Sliding Window, Coated Poly, with Recessed Panel and LEP </t>
  </si>
  <si>
    <t>PK1156TAH21</t>
  </si>
  <si>
    <t xml:space="preserve">Tahoe, 2021-2025, XL Panel Partition, Horizontal Sliding Window, Coated Poly, with Recessed Panel and LEP </t>
  </si>
  <si>
    <t>PK0355FDT15F150</t>
  </si>
  <si>
    <t xml:space="preserve">F150 2015-2025 Partition, Horizontal Sliding Window, Coated Poly, with Recessed Panel and LEP </t>
  </si>
  <si>
    <t>PK1130DUR11</t>
  </si>
  <si>
    <t xml:space="preserve">Durango, 2011-2026, XL Panel Partition, Horizontal Sliding Window, Coated Poly, with Recessed Panel and LEP </t>
  </si>
  <si>
    <t>PART/ITEM</t>
  </si>
  <si>
    <t>DESCRIPTION</t>
  </si>
  <si>
    <t>BID COST</t>
  </si>
  <si>
    <t>PM_REMOVAL</t>
  </si>
  <si>
    <t>Patrol Marked-Removal</t>
  </si>
  <si>
    <t>PM_REMOVALTRANSFER</t>
  </si>
  <si>
    <t>Patrol Marked-Removal &amp; Transfer</t>
  </si>
  <si>
    <t>PU_REMOVAL</t>
  </si>
  <si>
    <t>Patrol Unmarked-Removal</t>
  </si>
  <si>
    <t>PU_REMOVALTRANSFER</t>
  </si>
  <si>
    <t>Patrol Unmarked-Removal &amp; Transfer</t>
  </si>
  <si>
    <t>ADM_REMOVAL</t>
  </si>
  <si>
    <t>Admin-Removal</t>
  </si>
  <si>
    <t>ADM_REMOVALTRANSFER</t>
  </si>
  <si>
    <t>Admin-Removal &amp; Transfer</t>
  </si>
  <si>
    <t>K9_REMOVAL</t>
  </si>
  <si>
    <t>K9-Removal</t>
  </si>
  <si>
    <t>K9_REMOVALTRANSFER</t>
  </si>
  <si>
    <t>K9-Removal &amp; Transfer</t>
  </si>
  <si>
    <t>PT_REMOVAL</t>
  </si>
  <si>
    <t>Prisoner Transport-Removal</t>
  </si>
  <si>
    <t>PT_REMOVALTRANSFER</t>
  </si>
  <si>
    <t>Prisoner Transport-Removal &amp; Transfer</t>
  </si>
  <si>
    <t>MISC_REMOVEORTRANSFER</t>
  </si>
  <si>
    <t>*MISC Removal and/or Transfer of a la carte items @Rate/Hour</t>
  </si>
  <si>
    <t>$125/hour</t>
  </si>
  <si>
    <t>CUST_GRAPHIC-*****</t>
  </si>
  <si>
    <t>Custom Graphics:</t>
  </si>
  <si>
    <t>$500-$2500(+)</t>
  </si>
  <si>
    <t>LABOR-****</t>
  </si>
  <si>
    <t xml:space="preserve">Repair, Service and Install: </t>
  </si>
  <si>
    <t>TRANSPORT-*****</t>
  </si>
  <si>
    <t xml:space="preserve">Transportation - Pick Up/Return: </t>
  </si>
  <si>
    <t>MOBILE_INSTALL</t>
  </si>
  <si>
    <t>Mobile Installation - On Site SERVICES</t>
  </si>
  <si>
    <t>$150/hour</t>
  </si>
  <si>
    <t>KEY-****</t>
  </si>
  <si>
    <t>Additional Keys / FOB</t>
  </si>
  <si>
    <t>$50-$500</t>
  </si>
  <si>
    <t>FLEETKEY-*****</t>
  </si>
  <si>
    <t>Fleet Key</t>
  </si>
  <si>
    <t>$375</t>
  </si>
  <si>
    <t>TINT_FRONT-****</t>
  </si>
  <si>
    <t>Window Tint - Front Windows Only</t>
  </si>
  <si>
    <t>$225</t>
  </si>
  <si>
    <t>TINT_ALL-****</t>
  </si>
  <si>
    <t>Window Tint - Complete Vehicle</t>
  </si>
  <si>
    <t>$110/Window</t>
  </si>
  <si>
    <t>REMOTE-START</t>
  </si>
  <si>
    <t>Remote Start</t>
  </si>
  <si>
    <t>$250-$500</t>
  </si>
  <si>
    <t>SHOP_SUPPLIES</t>
  </si>
  <si>
    <t>Shop Supplies</t>
  </si>
  <si>
    <t>$50-$900</t>
  </si>
  <si>
    <t>PRO_DOC</t>
  </si>
  <si>
    <t>Fleet Documentation Package (Suitable for Executive Presenations)</t>
  </si>
  <si>
    <t>$500-$2000</t>
  </si>
  <si>
    <t>NK1889FDT21F150</t>
  </si>
  <si>
    <t>CONSOLE WIDE BODY KIT, 2021-26 FORD TRUCK F150</t>
  </si>
  <si>
    <t>NK1898DUR21</t>
  </si>
  <si>
    <t>NK1902EPD25</t>
  </si>
  <si>
    <t>NK1889FDT17F250</t>
  </si>
  <si>
    <t>NK1901CHT191500</t>
  </si>
  <si>
    <t>NK1900DRT191500</t>
  </si>
  <si>
    <t>CONSOLE DEEP BODY KIT, 2011-26 DURANGO</t>
  </si>
  <si>
    <t>CONSOLE WIDE BODY KIT,  2025 EXPEDITION</t>
  </si>
  <si>
    <t>CONSOLE WIDE BODY KIT, 2017-25 F250/350/450/550</t>
  </si>
  <si>
    <t>CONSOLE WIDE BODY KIT, 2019-25 CHEVY SILVERADO 1500</t>
  </si>
  <si>
    <t>CONSOLE WIDE BODY KIT, 2019-25 DODGE RAM DT 1500</t>
  </si>
  <si>
    <t>NP19817</t>
  </si>
  <si>
    <t>CONSOLE 12 VOLT POWER CAP  2020-26 INTERCEPTOR UTILITY</t>
  </si>
  <si>
    <t>NP19815</t>
  </si>
  <si>
    <t>CONSOLE MAGNETIC MIC   2020-26 INTERCEPTOR UTILITY</t>
  </si>
  <si>
    <t>NP19814</t>
  </si>
  <si>
    <t>CONSOLE MAGNETIC MIC MOUNT BRKT 2020-26 INTERCEPTOR UTILITY</t>
  </si>
  <si>
    <t>NK2176</t>
  </si>
  <si>
    <t>CONSOLE ARM REST KIT STANDARD</t>
  </si>
  <si>
    <t>NA19946</t>
  </si>
  <si>
    <t>11" SLIDING COMPUTER MOUNT STANDARD</t>
  </si>
  <si>
    <t>NP_FILLER_**</t>
  </si>
  <si>
    <t xml:space="preserve">CONSOLE FACE PLATES </t>
  </si>
  <si>
    <t>NP_LEGKIT_**</t>
  </si>
  <si>
    <t>CONSOLE LEG MOUNT KITS TRUCK AND SUV</t>
  </si>
  <si>
    <t>PART # /ITEM</t>
  </si>
  <si>
    <t>ELB42BCL0AA</t>
  </si>
  <si>
    <t>4200 Series LED Beacon, 10-30v, SAE J845 Class 1 - Flat/Pipe Mount, 4" Amber Dome/ Amber LEDs</t>
  </si>
  <si>
    <t>ELB42BCL0AC</t>
  </si>
  <si>
    <t>4200 Series LED Beacon, 10-30v, SAE J845 Class 1 - Flat/Pipe Mount, 4"Clear Dome/ Amber LEDs</t>
  </si>
  <si>
    <t>ELB42BML+AA</t>
  </si>
  <si>
    <t>4200 Series LED Beacon, 10-30v, SAE J845 Class 1 - Magnetic Mount, 4" Amber Dome/ Amber LEDs</t>
  </si>
  <si>
    <t>ELB42BML+AC</t>
  </si>
  <si>
    <t>4200 Series LED Beacon, 10-30v, SAE J845 Class 1 - Magnetic Mount, 4" Clear Dome/ Amber LEDs</t>
  </si>
  <si>
    <t>ELB42BCH0AA</t>
  </si>
  <si>
    <t>4200 Series LED Beacon, 10-30v, SAE J845 Class 1 - Flat/Pipe Mount, 6" Amber Dome/ Amber LEDs</t>
  </si>
  <si>
    <t>ELB42BCH0AC</t>
  </si>
  <si>
    <t>4200 Series LED Beacon, 10-30v, SAE J845 Class 1 - Flat/Pipe Mount, 6" Clear Dome/ Amber LEDs</t>
  </si>
  <si>
    <t>ELB42BMH+AC</t>
  </si>
  <si>
    <t>4200 Series LED Beacon, 10-30v, SAE J845 Class 1 - Magnetic Mount, 6" Clear Dome/ Amber LEDs</t>
  </si>
  <si>
    <t>ELB42BMH+AA</t>
  </si>
  <si>
    <t>4200 Series LED Beacon, 10-30v, SAE J845 Class 1 - Magnetic Mount, 6" Amber Dome/ Amber LEDs</t>
  </si>
  <si>
    <t>ELB45BCL0AA</t>
  </si>
  <si>
    <t>4500 Series LED Beacon, 10-30v, SAE J845 Class 1 - Flat/Pipe Mount, 4" Amber Dome/ Amber LEDs</t>
  </si>
  <si>
    <t>ELB45BCL0AC</t>
  </si>
  <si>
    <t>4500 Series LED Beacon, 10-30v, SAE J845 Class 1 - Flat/Pipe Mount, 4" Clear Dome/ Amber LEDs</t>
  </si>
  <si>
    <t>ELB45BCL0BB</t>
  </si>
  <si>
    <t>4500 Series LED Beacon, 10-30v, SAE J845 Class 1 - Flat/Pipe Mount, 4" Blue Dome/ Blue LEDs</t>
  </si>
  <si>
    <t>ELB45BCL0BC</t>
  </si>
  <si>
    <t>4500 Series LED Beacon, 10-30v, SAE J845 Class 1 - Flat/Pipe Mount, 4" Clear Dome/ Blue LEDs</t>
  </si>
  <si>
    <t>ELB45BCL0FC</t>
  </si>
  <si>
    <t>4500 Series LED Beacon, 10-30v, SAE J845 Class 1 - Flat/Pipe Mount, 4" Clear Dome &amp; Amber/White LEDs</t>
  </si>
  <si>
    <t>ELB45BCL0GC</t>
  </si>
  <si>
    <t>4500 Series LED Beacon, 10-30v, SAE J845 Class 1 - Flat/Pipe Mount, 4" Clear Dome/ Green LEDs</t>
  </si>
  <si>
    <t>ELB45BCL0GG</t>
  </si>
  <si>
    <t>4500 Series LED Beacon, 10-30v, SAE J845 Class 1 - Flat/Pipe Mount, 4" Green Dome/ Green LEDs</t>
  </si>
  <si>
    <t>ELB45BCL0JC</t>
  </si>
  <si>
    <t>4500 Series LED Beacon, 10-30v, SAE J845 Class 1 - Flat/Pipe Mount, 4" Clear Dome &amp; Red/Blue LEDs</t>
  </si>
  <si>
    <t>ELB45BCL0PC</t>
  </si>
  <si>
    <t>4500 Series LED Beacon, 10-30v, SAE J845 Class 1 - Flat/Pipe Mount, 4" Clear Dome &amp; Green/Amber LEDs</t>
  </si>
  <si>
    <t>ELB45BCL0RC</t>
  </si>
  <si>
    <t>4500 Series LED Beacon, 10-30v, SAE J845 Class 1 - Flat/Pipe Mount, 4" Clear Dome/ Red LEDs</t>
  </si>
  <si>
    <t>ELB45BCL0RR</t>
  </si>
  <si>
    <t>4500 Series LED Beacon, 10-30v, SAE J845 Class 1 - Flat/Pipe Mount, 4" Red Dome/ Red LEDs</t>
  </si>
  <si>
    <t>ELB45BCL0WC</t>
  </si>
  <si>
    <t>4500 Series LED Beacon, 10-30v, SAE J845 Class 1 - Flat/Pipe Mount, 4" Clear Dome/ White LEDs</t>
  </si>
  <si>
    <t>ELB45BML+AA</t>
  </si>
  <si>
    <t>4500 Series LED Beacon, 10-30v, SAE J845 Class 1 - Magnetic Mount, 4" Amber Dome/ Amber LEDs</t>
  </si>
  <si>
    <t>ELB45BML+AC</t>
  </si>
  <si>
    <t>4500 Series LED Beacon, 10-30v, SAE J845 Class 1 - Magnetic Mount, 4" Clear Dome/ Amber LEDs</t>
  </si>
  <si>
    <t>ELB45BML+BB</t>
  </si>
  <si>
    <t>4500 Series LED Beacon, 10-30v, SAE J845 Class 1 - Magnetic Mount, 4" Blue Dome/ Blue LEDs</t>
  </si>
  <si>
    <t>ELB45BML+BC</t>
  </si>
  <si>
    <t>4500 Series LED Beacon, 10-30v, SAE J845 Class 1 - Magnetic Mount, 4" Clear Dome/ Blue LEDs</t>
  </si>
  <si>
    <t>ELB45BML+FC</t>
  </si>
  <si>
    <t>4500 Series LED Beacon, 10-30v, SAE J845 Class 1 - Magnetic Mount, 4" Clear Dome/ Amber &amp; White LEDs</t>
  </si>
  <si>
    <t>ELB45BML+GC</t>
  </si>
  <si>
    <t>4500 Series LED Beacon, 10-30v, SAE J845 Class 1 - Magnetic Mount, 4" Clear Dome/ Green LEDs</t>
  </si>
  <si>
    <t>ELB45BML+GG</t>
  </si>
  <si>
    <t>4500 Series LED Beacon, 10-30v, SAE J845 Class 1 - Magnetic Mount, 4" Green Dome/ Green LEDs</t>
  </si>
  <si>
    <t>ELB45BML+JC</t>
  </si>
  <si>
    <t>4500 Series LED Beacon, 10-30v, SAE J845 Class 1 - Magnetic Mount, 4" Clear Dome &amp; Red/Blue LEDs</t>
  </si>
  <si>
    <t>ELB45BML+RC</t>
  </si>
  <si>
    <t>4500 Series LED Beacon, 10-30v, SAE J845 Class 1 - Magnetic Mount, 4" Clear Dome/ Red LEDs</t>
  </si>
  <si>
    <t>ELB45BML+RR</t>
  </si>
  <si>
    <t>4500 Series LED Beacon, 10-30v, SAE J845 Class 1 - Magnetic Mount, 4" Red Dome/ Red LEDs</t>
  </si>
  <si>
    <t>ELB45BML+WC</t>
  </si>
  <si>
    <t>4500 Series LED Beacon, 10-30v, SAE J845 Class 1 - Magnetic Mount, 4" Clear Dome/ White LEDs</t>
  </si>
  <si>
    <t>ELB45BCH0AA</t>
  </si>
  <si>
    <t>4500 Series LED Beacon, 10-30v, SAE J845 Class 1 - Flat/Pipe Mount, 6" Amber Dome/ Amber LEDs</t>
  </si>
  <si>
    <t>ELB45BCH0AC</t>
  </si>
  <si>
    <t>4500 Series LED Beacon, 10-30v, SAE J845 Class 1 - Flat/Pipe Mount, 6" Clear Dome/ Amber LEDs</t>
  </si>
  <si>
    <t>ELB45BCH0BB</t>
  </si>
  <si>
    <t>4500 Series LED Beacon, 10-30v, SAE J845 Class 1 - Flat/Pipe Mount, 6" Blue Dome/ Blue LEDs</t>
  </si>
  <si>
    <t>ELB45BCH0BC</t>
  </si>
  <si>
    <t>4500 Series LED Beacon, 10-30v, SAE J845 Class 1 - Flat/Pipe Mount, 6" Clear Dome/ Blue LEDs</t>
  </si>
  <si>
    <t>ELB45BCH0FC</t>
  </si>
  <si>
    <t>ELB45BCH0GC</t>
  </si>
  <si>
    <t>4500 Series LED Beacon, 10-30v, SAE J845 Class 1 - Flat/Pipe Mount, 6" Clear Dome/ Green LEDs</t>
  </si>
  <si>
    <t>ELB45BCH0GG</t>
  </si>
  <si>
    <t>4500 Series LED Beacon, 10-30v, SAE J845 Class 1 - Flat/Pipe Mount, 6" Green Dome/ Green LEDs</t>
  </si>
  <si>
    <t>ELB45BCH0PC</t>
  </si>
  <si>
    <t>4500 Series LED Beacon, 10-30v, SAE J845 Class 1 - Flat/Pipe Mount, 6" Clear Dome/ Green &amp; Amber LEDs</t>
  </si>
  <si>
    <t>ELB45BCH0RC</t>
  </si>
  <si>
    <t>4500 Series LED Beacon, 10-30v, SAE J845 Class 1 - Flat/Pipe Mount, 6" Clear Dome/ Red LEDs</t>
  </si>
  <si>
    <t>ELB45BCH0RR</t>
  </si>
  <si>
    <t>4500 Series LED Beacon, 10-30v, SAE J845 Class 1 - Flat/Pipe Mount, 6" Red Dome/ Red LEDs</t>
  </si>
  <si>
    <t>ELB45BCH0WC</t>
  </si>
  <si>
    <t>4500 Series LED Beacon, 10-30v, SAE J845 Class 1 - Flat/Pipe Mount, 6" Clear Dome/ White LEDs</t>
  </si>
  <si>
    <t>ELB45BMH+AA</t>
  </si>
  <si>
    <t>4500 Series LED Beacon, 10-30v, SAE J845 Class 1 - Magnetic Mount, 6" Amber Dome/ Amber LEDs</t>
  </si>
  <si>
    <t>ELB45BMH+AC</t>
  </si>
  <si>
    <t>4500 Series LED Beacon, 10-30v, SAE J845 Class 1 - Magnetic Mount, 6" Clear Dome/ Amber LEDs</t>
  </si>
  <si>
    <t>ELB45BMH+BB</t>
  </si>
  <si>
    <t>4500 Series LED Beacon, 10-30v, SAE J845 Class 1 - Magnetic Mount, 6" Blue Dome/ Blue LEDs</t>
  </si>
  <si>
    <t>ELB45BMH+BC</t>
  </si>
  <si>
    <t>4500 Series LED Beacon, 10-30v, SAE J845 Class 1 - Magnetic Mount, 6" Clear Dome/ Blue LEDs</t>
  </si>
  <si>
    <t>ELB45BMH+FC</t>
  </si>
  <si>
    <t>4500 Series LED Beacon, 10-30v, SAE J845 Class 1 - Magnetic Mount, 6" Clear Dome &amp; Amber/White LEDs</t>
  </si>
  <si>
    <t>ELB45BMH+GC</t>
  </si>
  <si>
    <t>4500 Series LED Beacon, 10-30v, SAE J845 Class 1 - Magnetic Mount, 6" Clear Dome/ Green LEDs</t>
  </si>
  <si>
    <t>ELB45BMH+GG</t>
  </si>
  <si>
    <t>4500 Series LED Beacon, 10-30v, SAE J845 Class 1 - Magnetic Mount, 6" Green Dome/ Green LEDs</t>
  </si>
  <si>
    <t>ELB45BMH+RR</t>
  </si>
  <si>
    <t>4500 Series LED Beacon, 10-30v, SAE J845 Class 1 - Magnetic Mount, 6" Red Dome/ Red LEDs</t>
  </si>
  <si>
    <t>ELB45BMH+WC</t>
  </si>
  <si>
    <t>4500 Series LED Beacon, 10-30v, SAE J845 Class 1 - Magnetic Mount, 6" White Dome/ Clear LEDs</t>
  </si>
  <si>
    <t>ETBCHK10AACB1</t>
  </si>
  <si>
    <t>Ford Dual High Beacon 360 Degree Lighting Kit, High Dome for use with Ford F-150 (2015-2020) includes: (2) Single-color Beacons, (5) Accessories &amp; Hardware for mounting installation, (2) Harnesses &amp; (1) Side Panel with Switch - Clear Lens/Amber LEDs</t>
  </si>
  <si>
    <t>ETBCLK40RBCB1</t>
  </si>
  <si>
    <t>Ford Dual Beacon 360 Degree Lighting Kit, High Dome for use with Ford F-150 (2021-2022) includes: (2) Single-color Beacons, (5) Accessories &amp; Hardware for mounting installation, (2) Harnesses &amp; (1) Black Onyx Side Panel with Switch - Clear Lens/Red LEDs &amp; Clear Lens/Blue LEDs</t>
  </si>
  <si>
    <t>ETBCLK40RBCS1</t>
  </si>
  <si>
    <t>Ford Dual Beacon 360 Degree Lighting Kit, High Dome for use with Ford F-150 (2021-2022) includes: (2) Single-color Beacons, (5) Accessories &amp; Hardware for mounting installation, (2) Harnesses &amp; (1) Medium Dark Slate Side Panel with Switch - Clear Lens/Red LEDs &amp; Clear Lens/Blue LEDs</t>
  </si>
  <si>
    <t>ETBCHK40AACB1</t>
  </si>
  <si>
    <t>Ford Dual Beacon 360 Degree Lighting Kit, Low Dome for use with Ford F-150 (2021-2022) includes: (2) Single-color Beacons, (5) Accessories &amp; Hardware for mounting installation, (2) Harnesses &amp; (1) Black Onyx Side Panel with Switch - Clear Lens/Amber LEDs &amp; Clear Lens/Amber LEDs</t>
  </si>
  <si>
    <t>ETBCHK40AACS1</t>
  </si>
  <si>
    <t>Ford Dual Beacon 360 Degree Lighting Kit, Low Dome for use with Ford F-150 (2021-2022) includes: (2) Single-color Beacons, (5) Accessories &amp; Hardware for mounting installation, (2) Harnesses &amp; (1) Medium Dark Slate Side Panel with Switch - Clear Lens/Amber LEDs &amp; Clear Lens/Amber LEDs</t>
  </si>
  <si>
    <t>ETBCLK10AACB1</t>
  </si>
  <si>
    <t>Ford Dual Beacon 360 Degree Lighting Kit, Low Dome for use with Ford F-150 (2015-2020) includes: (2) Single-color Beacons, (5) Accessories &amp; Hardware for mounting installation, (2) Harnesses &amp; (1) Side Panel with Switch - Clear Lens/Amber LEDs</t>
  </si>
  <si>
    <t>ETBCLK10AALB1</t>
  </si>
  <si>
    <t>Ford Dual Beacon 360 Degree Lighting Kit, Low Dome for use with Ford F-150 (2015-2020) includes: (2) Single-color Beacons, (5) Accessories &amp; Hardware for mounting installation, (2) Harnesses &amp; (1) Side Panel with Switch - Amber Lens/Amber LEDs</t>
  </si>
  <si>
    <t>ETBCLK10AWCB1</t>
  </si>
  <si>
    <t>Ford Dual Beacon 360 Degree Lighting Kit, Low Dome for use with Ford F-150 (2015-2020) includes: (2) Single-color Beacons, (5) Accessories &amp; Hardware for mounting installation, (2) Harnesses &amp; (1) Side Panel with Switch - Clear Lens/Amber LEDs &amp; Clear Lens/White LEDs</t>
  </si>
  <si>
    <t>ETBCLK10RBCB1</t>
  </si>
  <si>
    <t>Ford Dual Beacon 360 Degree Lighting Kit, Low Dome for use with Ford F-150 (2015-2020) includes: (2) Single-color Beacons, (5) Accessories &amp; Hardware for mounting installation, (2) Harnesses &amp; (1) Side Panel with Switch - Clear Lens/Red LEDs &amp; Clear Lens/Blue LEDs</t>
  </si>
  <si>
    <t>ETBCLK40AACB1</t>
  </si>
  <si>
    <t>ETBCLK40AACS1</t>
  </si>
  <si>
    <t>ETBCLK40AALB1</t>
  </si>
  <si>
    <t>Ford Dual Beacon 360 Degree Lighting Kit, Low Dome for use with Ford F-150 (2021-2022) includes: (2) Single-color Beacons, (5) Accessories &amp; Hardware for mounting installation, (2) Harnesses &amp; (1) Black Onyx Side Panel with Switch - Amber Lens/Amber LEDs &amp; Amber Lens/Amber LEDs</t>
  </si>
  <si>
    <t>ETBCLK40AALS1</t>
  </si>
  <si>
    <t>Ford Dual Beacon 360 Degree Lighting Kit, Low Dome for use with Ford F-150 (2021-2022) includes: (2) Single-color Beacons, (5) Accessories &amp; Hardware for mounting installation, (2) Harnesses &amp; (1) Medium Dark Slate Side Panel with Switch - Amber Lens/Amber LEDs &amp; Amber Lens/Amber LEDs</t>
  </si>
  <si>
    <t>ETBCLK40AWCB1</t>
  </si>
  <si>
    <t>Ford Dual Beacon 360 Degree Lighting Kit, Low Dome for use with Ford F-150 (2021-2022) includes: (2) Single-color Beacons, (5) Accessories &amp; Hardware for mounting installation, (2) Harnesses &amp; (1) Black Onyx Side Panel with Switch - Clear Lens/Amber LEDs &amp; Clear Lens/White LEDs</t>
  </si>
  <si>
    <t>ETBCLK40AWCS1</t>
  </si>
  <si>
    <t>Ford Dual Beacon 360 Degree Lighting Kit, Low Dome for use with Ford F-150 (2021-2022) includes: (2) Single-color Beacons, (5) Accessories &amp; Hardware for mounting installation, (2) Harnesses &amp; (1) Medium Dark Slate Side Panel with Switch - Clear Lens/Amber LEDs &amp; Clear Lens/White LEDs</t>
  </si>
  <si>
    <t>ETBCHK20AACB1</t>
  </si>
  <si>
    <t>Ford Dual High Beacon 360 Degree Lighting Kit, High Dome for use with Ford Super Duty (2017-2022) includes: (2) Single-color Beacons, (5) Accessories &amp; Hardware for mounting installation, (2) Harnesses &amp; (1) Side Panel with Switch - Clear Lens/Amber LEDs</t>
  </si>
  <si>
    <t>ETBCLK20AACB1</t>
  </si>
  <si>
    <t>Ford Dual Beacon 360 Degree Lighting Kit, Low Dome for use with Ford Super Duty (2017-2021) includes: (2) Single-color Beacons, (5) Accessories &amp; Hardware for mounting installation, (2) Harnesses &amp; (1) Side Panel with Switch - Clear Lens/Amber LEDs</t>
  </si>
  <si>
    <t>ETBCLK20AALB1</t>
  </si>
  <si>
    <t>Ford Dual Beacon 360 Degree Lighting Kit, Low Dome for use with Ford Super Duty (2017-2021) includes: (2) Single-color Beacons, (5) Accessories &amp; Hardware for mounting installation, (2) Harnesses &amp; (1) Side Panel with Switch - Amber Lens/Amber LEDs</t>
  </si>
  <si>
    <t>ETBCLK20AWCB1</t>
  </si>
  <si>
    <t>Ford Dual Beacon 360 Degree Lighting Kit, Low Dome for use with Ford Super Duty (2017-2021) includes: (2) Single-color Beacons, (5) Accessories &amp; Hardware for mounting installation, (2) Harnesses &amp; (1) Side Panel with Switch - Clear Lens/Amber LEDs &amp; Clear Lens/White LEDs</t>
  </si>
  <si>
    <t>ETBCLK20RBCB1</t>
  </si>
  <si>
    <t>Ford Dual Beacon 360 Degree Lighting Kit, Low Dome for use with Ford Super Duty (2017-2021) includes: (2) Single-color Beacons, (5) Accessories &amp; Hardware for mounting installation, (2) Harnesses &amp; (1) Side Panel with Switch - Clear Lens/Red LEDs &amp; Clear Lens/Blue LEDs</t>
  </si>
  <si>
    <t>ENNBC00001</t>
  </si>
  <si>
    <t>nFORCE® nxt Beacon, Flat Surface Mount Gasket, Dual Color Red/White LED, Red Lens</t>
  </si>
  <si>
    <t>ETCPRSP01</t>
  </si>
  <si>
    <t>8 Button Controller w/ Slide Switch Kit includes: Amplifier, Microphone &amp; Bail Bracket</t>
  </si>
  <si>
    <t>ESADW0001</t>
  </si>
  <si>
    <t>72" Smart Arrow Board, Single Color (Amber Poly 7x3). Turn-Key solution-shipped complete. Arrow Synchronization included. Power Connectors included. (customer supplied cables)</t>
  </si>
  <si>
    <t>ESADW0002</t>
  </si>
  <si>
    <t>72" Smart Arrow board, Dual Color x 15 (Amber/Red Poly 7x3). Turn-Key solution-shipped complete. Arrow Synchronization included. Power Connectors included. (customer supplied cables)</t>
  </si>
  <si>
    <t>ESADW0003</t>
  </si>
  <si>
    <t>72" Smart Arrow Board, Tri-Color x 15 (Amber/Green/Red mpower® 7x3). Turn-Key solution-shipped complete. Arrow Synchronization included. Power Connectors included. (customer supplied cables)</t>
  </si>
  <si>
    <t>ESADW0004</t>
  </si>
  <si>
    <t>72" Smart Arrow Board, Single Color (Amber Poly 7x3). Turn-Key solution-shipped complete. Arrow Synchronization included. Power Connectors included. (customer supplied cables) - with ZoneCommand - Intrusion Detection Camera System. Includes interface module with 8 detection</t>
  </si>
  <si>
    <t>ESADW0005</t>
  </si>
  <si>
    <t>72" Smart Arrow Board, Dual Color x 15 (Amber/Red Poly 7x3). Turn-Key solution-shipped complete. Arrow Synchronization included. Power Connectors included. (customer supplied cables) - with ZoneCommand - Intrusion Detection Camera System. Includes interface module with 8 detection inputs.</t>
  </si>
  <si>
    <t>ESADW0006</t>
  </si>
  <si>
    <t>72" Smart Arrow Board Tri-Color x 15 (Amber/Green/Red mpower® 7x3). Turn-Key solution-shipped complete. Arrow Synchronization included. Power Connectors included. (customer supplied cables) - with ZoneCommand - Intrusion Detection Camera System. Includes interface module with 8 detection inputs.</t>
  </si>
  <si>
    <t>EMPAK0098M</t>
  </si>
  <si>
    <t>mpower® Arrow Kit, includes 12" Breakout Box Harness, (1) Breakout Box, (2) Distribution Harnesses and (1) Power/Control Harness - (6) EMPSCG2STS5RAW - (no mounting brackets)</t>
  </si>
  <si>
    <t>EMPAK0098N</t>
  </si>
  <si>
    <t>mpower® Arrow Kit, includes 12" Breakout Box Harness, (1) Breakout Box, (2) Distribution Harnesses and (1) Power/Control Harness - (8) EMPSCG2STS5RAW - (no mounting brackets)</t>
  </si>
  <si>
    <t>EMPAKKT01</t>
  </si>
  <si>
    <t>mpower® Arrow Harness Kit, includes 12" Breakout Box Harness, (1) Breakout Box, (2) Distribution Harnesses and (1) Power/Control Harness - could power up to 8 lights (no mounting brackets)</t>
  </si>
  <si>
    <t>EMPAKKT02</t>
  </si>
  <si>
    <t>mpower® Arrow Harness Kit, includes 36" Breakout Box Harness, (1) Breakout Box, (2) Distribution Harnesses and (1) Power/Control Harness - could power up to 8 lights (no mounting brackets)</t>
  </si>
  <si>
    <t>EMPAKKT03</t>
  </si>
  <si>
    <t>mpower® Arrow Harness Kit, includes 12" Breakout Box Harness, (1) Breakout Box, (2) Distribution Harnesses and (1) Power/Control Harness - could power up to 6 lights (no mounting brackets)</t>
  </si>
  <si>
    <t>EMPAKKT04</t>
  </si>
  <si>
    <t>mpower® Arrow Harness Kit, includes 36" Breakout Box Harness, (1) Breakout Box, (2) Distribution Harnesses and (1) Power/Control Harness - could power up to 6 lights (no mounting brackets)</t>
  </si>
  <si>
    <t>ETMTC0001-AC</t>
  </si>
  <si>
    <t>TM100 Traffic Controller, SAE J1849 Class 1, CA Title 13 &amp; ECE R10, Clear Lens, Amber LEDs</t>
  </si>
  <si>
    <t>EL3PH02A0+A</t>
  </si>
  <si>
    <t>UltraLITE Plus 2 Module Interior Windshield Mount Lightbar includes 12v Cigar Plug, Suction Cup Mount &amp; Universal Headliner Brackets (pair) - Amber</t>
  </si>
  <si>
    <t>EL3PH02A0+B</t>
  </si>
  <si>
    <t>UltraLITE Plus 2 Module Interior Windshield Mount Lightbar includes 12v Cigar Plug, Suction Cup Mount &amp; Universal Headliner Brackets (pair) - Blue</t>
  </si>
  <si>
    <t>EL3PH02A0+D</t>
  </si>
  <si>
    <t>UltraLITE Plus 2 Module Interior Windshield Mount Lightbar includes 12v Cigar Plug, Suction Cup Mount &amp; Universal Headliner Brackets (pair) - Red/White</t>
  </si>
  <si>
    <t>EL3PH02A0+E</t>
  </si>
  <si>
    <t>UltraLITE Plus 2 Module Interior Windshield Mount Lightbar includes 12v Cigar Plug, Suction Cup Mount &amp; Universal Headliner Brackets (pair) - Blue/White</t>
  </si>
  <si>
    <t>EL3PH02A0+F</t>
  </si>
  <si>
    <t>UltraLITE Plus 2 Module Interior Windshield Mount Lightbar includes 12v Cigar Plug, Suction Cup Mount &amp; Universal Headliner Brackets (pair) - Amber/White</t>
  </si>
  <si>
    <t>EL3PH02A0+G</t>
  </si>
  <si>
    <t>UltraLITE Plus 2 Module Interior Windshield Mount Lightbar includes 12v Cigar Plug, Suction Cup Mount &amp; Universal Headliner Brackets (pair) - Green</t>
  </si>
  <si>
    <t>EL3PH02A0+H</t>
  </si>
  <si>
    <t>UltraLITE Plus 2 Module Interior Windshield Mount Lightbar includes 12v Cigar Plug, Suction Cup Mount &amp; Universal Headliner Brackets (pair) - Green/White</t>
  </si>
  <si>
    <t>EL3PH02A0+J</t>
  </si>
  <si>
    <t>UltraLITE Plus 2 Module Interior Windshield Mount Lightbar includes 12v Cigar Plug, Suction Cup Mount &amp; Universal Headliner Brackets (pair) - Red/Blue</t>
  </si>
  <si>
    <t>EL3PH02A0+K</t>
  </si>
  <si>
    <t>UltraLITE Plus 2 Module Interior Windshield Mount Lightbar includes 12v Cigar Plug, Suction Cup Mount &amp; Universal Headliner Brackets (pair) - Red/Amber</t>
  </si>
  <si>
    <t>EL3PH02A0+M</t>
  </si>
  <si>
    <t>UltraLITE Plus 2 Module Interior Windshield Mount Lightbar includes 12v Cigar Plug, Suction Cup Mount &amp; Universal Headliner Brackets (pair) - Blue/Amber</t>
  </si>
  <si>
    <t>EL3PH02A0+N</t>
  </si>
  <si>
    <t>UltraLITE Plus 2 Module Interior Windshield Mount Lightbar includes 12v Cigar Plug, Suction Cup Mount &amp; Universal Headliner Brackets (pair) - Blue/Green</t>
  </si>
  <si>
    <t>EL3PH02A0+P</t>
  </si>
  <si>
    <t>UltraLITE Plus 2 Module Interior Windshield Mount Lightbar includes 12v Cigar Plug, Suction Cup Mount &amp; Universal Headliner Brackets (pair) - Green/Amber</t>
  </si>
  <si>
    <t>EL3PH02A0+R</t>
  </si>
  <si>
    <t>UltraLITE Plus 2 Module Interior Windshield Mount Lightbar includes 12v Cigar Plug, Suction Cup Mount &amp; Universal Headliner Brackets (pair) - Red</t>
  </si>
  <si>
    <t>EL3PH02A0+W</t>
  </si>
  <si>
    <t>UltraLITE Plus 2 Module Interior Windshield Mount Lightbar includes 12v Cigar Plug, Suction Cup Mount &amp; Universal Headliner Brackets (pair) - White</t>
  </si>
  <si>
    <t>EL3PA12A00A</t>
  </si>
  <si>
    <t>UltraLITE Plus 12 Module Exterior LED Directional Warning Bar w/ (2) 6 Module Arrow Ends &amp; 15 ft harness - Amber LEDs</t>
  </si>
  <si>
    <t>EL3PD02A00A</t>
  </si>
  <si>
    <t>UltraLITE Plus 2 Module Exterior LED Lightbar w/ Universal L-Brackets &amp; 14 ft cable - Amber</t>
  </si>
  <si>
    <t>EL3PD02A00B</t>
  </si>
  <si>
    <t>UltraLITE Plus 2 Module Exterior LED Lightbar w/ Universal L-Brackets &amp; 14 ft cable - Blue</t>
  </si>
  <si>
    <t>EL3PD02A00D</t>
  </si>
  <si>
    <t>UltraLITE Plus 2 Module Exterior LED Lightbar w/ Universal L-Brackets &amp; 14 ft cable - Split Color Red/White</t>
  </si>
  <si>
    <t>EL3PD02A00E</t>
  </si>
  <si>
    <t>UltraLITE Plus 2 Module Exterior LED Lightbar w/ Universal L-Brackets &amp; 14 ft cable - Split Color Blue/White</t>
  </si>
  <si>
    <t>EL3PD02A00F</t>
  </si>
  <si>
    <t>UltraLITE Plus 2 Module Exterior LED Lightbar w/ Universal L-Brackets &amp; 14 ft cable - Split Color Amber/White</t>
  </si>
  <si>
    <t>EL3PD02A00G</t>
  </si>
  <si>
    <t>UltraLITE Plus 2 Module Exterior LED Lightbar w/ Universal L-Brackets &amp; 14 ft cable - Green</t>
  </si>
  <si>
    <t>EL3PD02A00H</t>
  </si>
  <si>
    <t>UltraLITE Plus 2 Module Exterior LED Lightbar w/ Universal L-Brackets &amp; 14 ft cable - Split Color Green/White</t>
  </si>
  <si>
    <t>EL3PD02A00J</t>
  </si>
  <si>
    <t>UltraLITE Plus 2 Module Exterior LED Lightbar w/ Universal L-Brackets &amp; 14 ft cable - Split Color Red/Blue</t>
  </si>
  <si>
    <t>EL3PD02A00K</t>
  </si>
  <si>
    <t>UltraLITE Plus 2 Module Exterior LED Lightbar w/ Universal L-Brackets &amp; 14 ft cable - Split Color Red/Amber</t>
  </si>
  <si>
    <t>EL3PD02A00M</t>
  </si>
  <si>
    <t>UltraLITE Plus 2 Module Exterior LED Lightbar w/ Universal L-Brackets &amp; 14 ft cable - Split Color Blue/Amber</t>
  </si>
  <si>
    <t>EL3PD02A00R</t>
  </si>
  <si>
    <t>UltraLITE Plus 2 Module Exterior LED Lightbar w/ Universal L-Brackets &amp; 14 ft cable - Red</t>
  </si>
  <si>
    <t>EL3PD02A00W</t>
  </si>
  <si>
    <t>UltraLITE Plus 2 Module Exterior LED Lightbar w/ Universal L-Brackets &amp; 14 ft cable - White</t>
  </si>
  <si>
    <t>EL3PD04A00A</t>
  </si>
  <si>
    <t>UltraLITE Plus 4 Module Exterior LED Lightbar w/ Universal L-Brackets &amp; 14 ft cable - Amber</t>
  </si>
  <si>
    <t>EL3PD04A00B</t>
  </si>
  <si>
    <t>UltraLITE Plus 4 Module Exterior LED Lightbar w/ Universal L-Brackets &amp; 14 ft cable - Blue</t>
  </si>
  <si>
    <t>EL3PD04A00D</t>
  </si>
  <si>
    <t>UltraLITE Plus 4 Module Exterior LED Lightbar w/ Universal L-Brackets &amp; 14 ft cable - Red/White</t>
  </si>
  <si>
    <t>EL3PD04A00E</t>
  </si>
  <si>
    <t>UltraLITE Plus 4 Module Exterior LED Lightbar w/ Universal L-Brackets &amp; 14 ft cable - Blue/White</t>
  </si>
  <si>
    <t>EL3PD04A00F</t>
  </si>
  <si>
    <t>UltraLITE Plus 4 Module Exterior LED Lightbar w/ Universal L-Brackets &amp; 14 ft cable - Amber/White</t>
  </si>
  <si>
    <t>EL3PD04A00G</t>
  </si>
  <si>
    <t>UltraLITE Plus 4 Module Exterior LED Lightbar w/ Universal L-Brackets &amp; 14 ft cable - Green</t>
  </si>
  <si>
    <t>EL3PD04A00J</t>
  </si>
  <si>
    <t>UltraLITE Plus 4 Module Exterior LED Lightbar w/ Universal L-Brackets &amp; 14 ft cable - Red/Blue</t>
  </si>
  <si>
    <t>EL3PD04A00K</t>
  </si>
  <si>
    <t>UltraLITE Plus 4 Module Exterior LED Lightbar w/ Universal L-Brackets &amp; 14 ft cable - Red/Amber</t>
  </si>
  <si>
    <t>EL3PD04A00M</t>
  </si>
  <si>
    <t>UltraLITE Plus 4 Module Exterior LED Lightbar w/ Universal L-Brackets &amp; 14 ft cable - Blue/Amber</t>
  </si>
  <si>
    <t>EL3PD04A00N</t>
  </si>
  <si>
    <t>UltraLITE Plus 4 Module Exterior LED Lightbar w/ Universal L-Brackets &amp; 14 ft cable - Blue/Green</t>
  </si>
  <si>
    <t>EL3PD04A00R</t>
  </si>
  <si>
    <t>UltraLITE Plus 4 Module Exterior LED Lightbar w/ Universal L-Brackets &amp; 14 ft cable - Red</t>
  </si>
  <si>
    <t>EL3PD04A00W</t>
  </si>
  <si>
    <t>UltraLITE Plus 4 Module Exterior LED Lightbar w/ Universal L-Brackets &amp; 14 ft cable - White</t>
  </si>
  <si>
    <t>EL3PD08A00A</t>
  </si>
  <si>
    <t>UltraLITE Plus 8 Module Exterior LED Lightbar w/ Universal L-Brackets &amp; 14 ft cable - Amber</t>
  </si>
  <si>
    <t>EL3PD08A00B</t>
  </si>
  <si>
    <t>UltraLITE Plus 8 Module Exterior LED Lightbar w/ Universal L-Brackets &amp; 14 ft cable - Blue</t>
  </si>
  <si>
    <t>EL3PD08A00D</t>
  </si>
  <si>
    <t>UltraLITE Plus 8 Module Exterior LED Lightbar w/ Universal L-Brackets &amp; 14 ft cable - Red/White</t>
  </si>
  <si>
    <t>EL3PD08A00E</t>
  </si>
  <si>
    <t>UltraLITE Plus 8 Module Exterior LED Lightbar w/ Universal L-Brackets &amp; 14 ft cable - Blue/White</t>
  </si>
  <si>
    <t>EL3PD08A00F</t>
  </si>
  <si>
    <t>UltraLITE Plus 8 Module Exterior LED Lightbar w/ Universal L-Brackets &amp; 14 ft cable - Amber/White</t>
  </si>
  <si>
    <t>EL3PD08A00G</t>
  </si>
  <si>
    <t>UltraLITE Plus 8 Module Exterior LED Lightbar w/ Universal L-Brackets &amp; 14 ft cable - Green</t>
  </si>
  <si>
    <t>EL3PD08A00H</t>
  </si>
  <si>
    <t>UltraLITE Plus 8 Module Exterior LED Lightbar w/ Universal L-Brackets &amp; 14 ft cable - Green/White</t>
  </si>
  <si>
    <t>EL3PD08A00J</t>
  </si>
  <si>
    <t>UltraLITE Plus 8 Module Exterior LED Lightbar w/ Universal L-Brackets &amp; 14 ft cable - Red/Blue</t>
  </si>
  <si>
    <t>EL3PD08A00K</t>
  </si>
  <si>
    <t>UltraLITE Plus 8 Module Exterior LED Lightbar w/ Universal L-Brackets &amp; 14 ft cable - Red/Amber</t>
  </si>
  <si>
    <t>EL3PD08A00M</t>
  </si>
  <si>
    <t>UltraLITE Plus 8 Module Exterior LED Lightbar w/ Universal L-Brackets &amp; 14 ft cable - Blue/Amber</t>
  </si>
  <si>
    <t>EL3PD08A00R</t>
  </si>
  <si>
    <t>UltraLITE Plus 8 Module Exterior LED Lightbar w/ Universal L-Brackets &amp; 14 ft cable - Red</t>
  </si>
  <si>
    <t>EL3PD08A00W</t>
  </si>
  <si>
    <t>UltraLITE Plus 8 Module Exterior LED Lightbar w/ Universal L-Brackets &amp; 14 ft cable - White</t>
  </si>
  <si>
    <t>EL3PD08A10B</t>
  </si>
  <si>
    <t>UltraLITE Plus 8 Module Exterior LED Lightbar w/ Single Warning Ends, Universal L-Brackets &amp; 14 ft cable - Amber Center w/ Blue Warning Ends</t>
  </si>
  <si>
    <t>EL3PD08A10J</t>
  </si>
  <si>
    <t>UltraLITE Plus 8 Module Exterior LED Lightbar w/ Single Warning Ends, Universal L-Brackets &amp; 14 ft cable - Amber Center w/ Red/Blue Warning Ends</t>
  </si>
  <si>
    <t>EL3PD08A10R</t>
  </si>
  <si>
    <t>UltraLITE Plus 8 Module Exterior LED Lightbar w/ Single Warning Ends, Universal L-Brackets &amp; 14 ft cable - Amber Center w/ Red Warning Ends</t>
  </si>
  <si>
    <t>EL3PD08B10B</t>
  </si>
  <si>
    <t>UltraLITE Plus Exterior LED Directional/Warning Bar - 8 Module w/ Amber Center Modules &amp; Single Warning Ends (flash independent from arrow) includes Universal L-Brackets w/ 14 ft of wire for hard wire installation - Blue Warning Ends</t>
  </si>
  <si>
    <t>EL3PD08B10J</t>
  </si>
  <si>
    <t>UltraLITE Plus Exterior LED Directional/Warning Bar - 8 Module w/ Amber Center Modules &amp; Single Warning Ends (flash independent from arrow) includes Universal L-Brackets w/ 14 ft of wire for hard wire installation - Red/Blue Warning Ends</t>
  </si>
  <si>
    <t>EL3PD08B10R</t>
  </si>
  <si>
    <t>UltraLITE Plus Exterior LED Directional/Warning Bar - 8 Module w/ Amber Center Modules &amp; Single Warning Ends (flash independent from arrow) includes Universal L-Brackets w/ 14 ft of wire for hard wire installation - Red Warning Ends</t>
  </si>
  <si>
    <t>EL3PD12A00A</t>
  </si>
  <si>
    <t>UltraLITE Plus 12 Module Exterior LED Lightbar w/ Universal L-Brackets &amp; 14 ft cable - Amber</t>
  </si>
  <si>
    <t>EL3PD12A00B</t>
  </si>
  <si>
    <t>UltraLITE Plus 12 Module Exterior LED Lightbar w/ Universal L-Brackets &amp; 14 ft cable - Blue</t>
  </si>
  <si>
    <t>EL3PD12A00D</t>
  </si>
  <si>
    <t>UltraLITE Plus 12 Module Exterior LED Lightbar w/ Universal L-Brackets &amp; 14 ft cable - Red/White</t>
  </si>
  <si>
    <t>EL3PD12A00E</t>
  </si>
  <si>
    <t>UltraLITE Plus 12 Module Exterior LED Lightbar w/ Universal L-Brackets &amp; 14 ft cable - Blue/White</t>
  </si>
  <si>
    <t>EL3PD12A00F</t>
  </si>
  <si>
    <t>UltraLITE Plus 12 Module Exterior LED Lightbar w/ Universal L-Brackets &amp; 14 ft cable - Amber/White</t>
  </si>
  <si>
    <t>EL3PD12A00G</t>
  </si>
  <si>
    <t>UltraLITE Plus 12 Module Exterior LED Lightbar w/ Universal L-Brackets &amp; 14 ft cable - Green</t>
  </si>
  <si>
    <t>EL3PD12A00J</t>
  </si>
  <si>
    <t>UltraLITE Plus 12 Module Exterior LED Lightbar w/ Universal L-Brackets &amp; 14 ft cable - Red/Blue</t>
  </si>
  <si>
    <t>EL3PD12A00K</t>
  </si>
  <si>
    <t>UltraLITE Plus 12 Module Exterior LED Lightbar w/ Universal L-Brackets &amp; 14 ft cable - Red/Amber</t>
  </si>
  <si>
    <t>EL3PD12A00M</t>
  </si>
  <si>
    <t>UltraLITE Plus 12 Module Exterior LED Lightbar w/ Universal L-Brackets &amp; 14 ft cable - Blue/Amber</t>
  </si>
  <si>
    <t>EL3PD12A00R</t>
  </si>
  <si>
    <t>UltraLITE Plus 12 Module Exterior LED Lightbar w/ Universal L-Brackets &amp; 14 ft cable - Red</t>
  </si>
  <si>
    <t>EL3PD12A00W</t>
  </si>
  <si>
    <t>UltraLITE Plus 12 Module Exterior LED Lightbar w/ Universal L-Brackets &amp; 14 ft cable - White</t>
  </si>
  <si>
    <t>EL3PD12A10B</t>
  </si>
  <si>
    <t>UltraLITE Plus 12 Module Exterior LED Lightbar w/ Single Warning Ends, Universal L-Brackets &amp; 14 ft cable - Amber Center w/ Blue Warning Ends</t>
  </si>
  <si>
    <t>EL3PD12A10J</t>
  </si>
  <si>
    <t>UltraLITE Plus 12 Module Exterior LED Lightbar w/ Single Warning Ends, Universal L-Brackets &amp; 14 ft cable - Amber Center w/ Red/Blue Warning Ends</t>
  </si>
  <si>
    <t>EL3PD12A10R</t>
  </si>
  <si>
    <t>UltraLITE Plus 12 Module Exterior LED Lightbar w/ Single Warning Ends, Universal L-Brackets &amp; 14 ft cable - Amber Center w/ Red Warning Ends</t>
  </si>
  <si>
    <t>EL3PD12A20A</t>
  </si>
  <si>
    <t>UltraLITE Plus 12 Module Exterior LED Lightbar w/ Dual Warning Ends, Universal L-Brackets &amp; 14 ft cable - Amber Center w/ Amber Warning Ends</t>
  </si>
  <si>
    <t>EL3PD12A20B</t>
  </si>
  <si>
    <t>UltraLITE Plus 12 Module Exterior LED Lightbar w/ Dual Warning Ends, Universal L-Brackets &amp; 14 ft cable - Amber Center w/ Blue Warning Ends</t>
  </si>
  <si>
    <t>EL3PD12A20J</t>
  </si>
  <si>
    <t>UltraLITE Plus 12 Module Exterior LED Lightbar w/ Dual Warning Ends, Universal L-Brackets &amp; 14 ft cable - Amber Center w/ Red/Blue Warning Ends</t>
  </si>
  <si>
    <t>EL3PD12A20M</t>
  </si>
  <si>
    <t>UltraLITE Plus 12 Module Exterior LED Lightbar w/ Dual Warning Ends, Universal L-Brackets &amp; 14 ft cable - Amber Center w/ Blue/Amber Warning Ends</t>
  </si>
  <si>
    <t>EL3PD12A20R</t>
  </si>
  <si>
    <t>UltraLITE Plus 12 Module Exterior LED Lightbar w/ Dual Warning Ends, Universal L-Brackets &amp; 14 ft cable - Amber Center w/ Red Warning Ends</t>
  </si>
  <si>
    <t>EL3PH04A00A</t>
  </si>
  <si>
    <t>UltraLITE Plus 4 Module Interior LED Lightbar w/ Universal L-Brackets &amp; 14 ft cable - Amber</t>
  </si>
  <si>
    <t>EL3PH04A00B</t>
  </si>
  <si>
    <t>UltraLITE Plus 4 Module Interior LED Lightbar w/ Universal L-Brackets &amp; 14 ft cable - Blue</t>
  </si>
  <si>
    <t>EL3PH04A00D</t>
  </si>
  <si>
    <t>UltraLITE Plus 4 Module Interior LED Lightbar w/ Universal L-Brackets &amp; 14 ft cable - Red/White</t>
  </si>
  <si>
    <t>EL3PH04A00E</t>
  </si>
  <si>
    <t>UltraLITE Plus 4 Module Interior LED Lightbar w/ Universal L-Brackets &amp; 14 ft cable - Blue/White</t>
  </si>
  <si>
    <t>EL3PH04A00F</t>
  </si>
  <si>
    <t>UltraLITE Plus 4 Module Interior LED Lightbar w/ Universal L-Brackets &amp; 14 ft cable - Amber/White</t>
  </si>
  <si>
    <t>EL3PH04A00H</t>
  </si>
  <si>
    <t>UltraLITE Plus 4 Module Interior LED Lightbar w/ Universal L-Brackets &amp; 14 ft cable - Green/White</t>
  </si>
  <si>
    <t>EL3PH04A00J</t>
  </si>
  <si>
    <t>UltraLITE Plus 4 Module Interior LED Lightbar w/ Universal L-Brackets &amp; 14 ft cable - Red/Blue</t>
  </si>
  <si>
    <t>EL3PH04A00K</t>
  </si>
  <si>
    <t>UltraLITE Plus 4 Module Interior LED Lightbar w/ Universal L-Brackets &amp; 14 ft cable - Red/Amber</t>
  </si>
  <si>
    <t>EL3PH04A00M</t>
  </si>
  <si>
    <t>UltraLITE Plus 4 Module Interior LED Lightbar w/ Universal L-Brackets &amp; 14 ft cable - Blue/Amber</t>
  </si>
  <si>
    <t>EL3PH04A00P</t>
  </si>
  <si>
    <t>UltraLITE Plus 4 Module Interior LED Lightbar w/ Universal L-Brackets &amp; 14 ft cable - Green/Amber</t>
  </si>
  <si>
    <t>EL3PH04A00R</t>
  </si>
  <si>
    <t>UltraLITE Plus 4 Module Interior LED Lightbar w/ Universal L-Brackets &amp; 14 ft cable - Red</t>
  </si>
  <si>
    <t>EL3PH04A00W</t>
  </si>
  <si>
    <t>UltraLITE Plus 4 Module Interior LED Lightbar w/ Universal L-Brackets &amp; 14 ft cable - White</t>
  </si>
  <si>
    <t>EL3PH08A00A</t>
  </si>
  <si>
    <t>UltraLITE Plus 8 Module Interior LED Lightbar w/ Universal L-Brackets &amp; 14 ft cable - Amber</t>
  </si>
  <si>
    <t>EL3PH08A00B</t>
  </si>
  <si>
    <t>UltraLITE Plus 8 Module Interior LED Lightbar w/ Universal L-Brackets &amp; 14 ft cable - Blue</t>
  </si>
  <si>
    <t>EL3PH08A00D</t>
  </si>
  <si>
    <t>UltraLITE Plus 8 Module Interior LED Lightbar w/ Universal L-Brackets &amp; 14 ft cable - Red/White</t>
  </si>
  <si>
    <t>EL3PH08A00E</t>
  </si>
  <si>
    <t>UltraLITE Plus 8 Module Interior LED Lightbar w/ Universal L-Brackets &amp; 14 ft cable - Blue/White</t>
  </si>
  <si>
    <t>EL3PH08A00F</t>
  </si>
  <si>
    <t>UltraLITE Plus 8 Module Interior LED Lightbar w/ Universal L-Brackets &amp; 14 ft cable - Amber/White</t>
  </si>
  <si>
    <t>EL3PH08A00G</t>
  </si>
  <si>
    <t>UltraLITE Plus 8 Module Interior LED Lightbar w/ Universal L-Brackets &amp; 14 ft cable - Green</t>
  </si>
  <si>
    <t>EL3PH08A00H</t>
  </si>
  <si>
    <t>UltraLITE Plus 8 Module Interior LED Lightbar w/ Universal L-Brackets &amp; 14 ft cable - Green/White</t>
  </si>
  <si>
    <t>EL3PH08A00J</t>
  </si>
  <si>
    <t>UltraLITE Plus 8 Module Interior LED Lightbar w/ Universal L-Brackets &amp; 14 ft cable - Red/Blue</t>
  </si>
  <si>
    <t>EL3PH08A00K</t>
  </si>
  <si>
    <t>UltraLITE Plus 8 Module Interior LED Lightbar w/ Universal L-Brackets &amp; 14 ft cable - Red/Amber</t>
  </si>
  <si>
    <t>EL3PH08A00M</t>
  </si>
  <si>
    <t>UltraLITE Plus 8 Module Interior LED Lightbar w/ Universal L-Brackets &amp; 14 ft cable - Blue/Amber</t>
  </si>
  <si>
    <t>EL3PH08A00R</t>
  </si>
  <si>
    <t>UltraLITE Plus 8 Module Interior LED Lightbar w/ Universal L-Brackets &amp; 14 ft cable - Red</t>
  </si>
  <si>
    <t>EL3PH08A00W</t>
  </si>
  <si>
    <t>UltraLITE Plus 8 Module Interior LED Lightbar w/ Universal L-Brackets &amp; 14 ft cable - White</t>
  </si>
  <si>
    <t>EL3PH08A10B</t>
  </si>
  <si>
    <t>UltraLITE Plus 8 Module Interior LED Lightbar w/ Single Warning Ends, Universal L-Brackets &amp; 14 ft cable - Amber Center w/ Blue Warning Ends</t>
  </si>
  <si>
    <t>EL3PH08A10D</t>
  </si>
  <si>
    <t>UltraLITE Plus 8 Module Interior LED Lightbar w/ Single Warning Ends, Universal L-Brackets &amp; 14 ft cable - Amber Center w/ Red/White Warning Ends</t>
  </si>
  <si>
    <t>EL3PH08A10G</t>
  </si>
  <si>
    <t>UltraLITE Plus 8 Module Interior LED Lightbar w/ Single Warning Ends, Universal L-Brackets &amp; 14 ft cable - Amber Center w/ Green Warning Ends</t>
  </si>
  <si>
    <t>EL3PH08A10J</t>
  </si>
  <si>
    <t>UltraLITE Plus 8 Module Interior LED Lightbar w/ Single Warning Ends, Universal L-Brackets &amp; 14 ft cable - Amber Center w/ Red/Blue Warning Ends</t>
  </si>
  <si>
    <t>EL3PH08A10R</t>
  </si>
  <si>
    <t>UltraLITE Plus 8 Module Interior LED Lightbar w/ Single Warning Ends, Universal L-Brackets &amp; 14 ft cable - Amber Center w/ Red Warning Ends</t>
  </si>
  <si>
    <t>EL3PH08A10W</t>
  </si>
  <si>
    <t>UltraLITE Plus 8 Module Interior LED Lightbar w/ Single Warning Ends, Universal L-Brackets &amp; 14 ft cable - Amber Center w/ White Warning Ends</t>
  </si>
  <si>
    <t>EL3PH08B10A</t>
  </si>
  <si>
    <t>UltraLITE Plus 8 Module Interior LED Lightbar w/ Single Warning Ends (flash independent from arrow), Universal L-Brackets &amp; 14 ft cable- Amber Center w/ Amber Warning Ends</t>
  </si>
  <si>
    <t>EL3PH08B10B</t>
  </si>
  <si>
    <t>UltraLITE Plus 8 Module Interior LED Lightbar w/ Single Warning Ends (flash independent from arrow), Universal L-Brackets &amp; 14 ft cable- Amber Center w/ Blue Warning Ends</t>
  </si>
  <si>
    <t>EL3PH08B10J</t>
  </si>
  <si>
    <t>UltraLITE Plus 8 Module Interior LED Lightbar w/ Single Warning Ends (flash independent from arrow), Universal L-Brackets &amp; 14 ft cable- Amber Center w/ Red/Blue Warning Ends</t>
  </si>
  <si>
    <t>EL3PH08B10N</t>
  </si>
  <si>
    <t>UltraLITE Plus 8 Module Interior LED Lightbar w/ Single Warning Ends (flash independent from arrow), Universal L-Brackets &amp; 14 ft cable- Amber Center w/ Blue/Green Warning Ends</t>
  </si>
  <si>
    <t>EL3PH08B10R</t>
  </si>
  <si>
    <t>UltraLITE Plus 8 Module Interior LED Lightbar w/ Single Warning Ends (flash independent from arrow), Universal L-Brackets &amp; 14 ft cable- Amber Center w/ Red Warning Ends</t>
  </si>
  <si>
    <t>EL3PH08B10W</t>
  </si>
  <si>
    <t>UltraLITE Plus 8 Module Interior LED Lightbar w/ Single Warning Ends (flash independent from arrow), Universal L-Brackets &amp; 14 ft cable- Amber Center w/ White Warning Ends</t>
  </si>
  <si>
    <t>EL3PH12A00A</t>
  </si>
  <si>
    <t>UltraLITE Plus 12 Module Interior LED Lightbar w/ Universal L-Brackets &amp; 14 ft cable - Amber</t>
  </si>
  <si>
    <t>EL3PH12A00B</t>
  </si>
  <si>
    <t>UltraLITE Plus 12 Module Interior LED Lightbar w/ Universal L-Brackets &amp; 14 ft cable - Blue</t>
  </si>
  <si>
    <t>EL3PH12A00D</t>
  </si>
  <si>
    <t>UltraLITE Plus 12 Module Interior LED Lightbar w/ Universal L-Brackets &amp; 14 ft cable - Red/White</t>
  </si>
  <si>
    <t>EL3PH12A00F</t>
  </si>
  <si>
    <t>UltraLITE Plus 12 Module Interior LED Lightbar w/ Universal L-Brackets &amp; 14 ft cable - Amber/White</t>
  </si>
  <si>
    <t>EL3PH12A00G</t>
  </si>
  <si>
    <t>UltraLITE Plus 12 Module Interior LED Lightbar w/ Universal L-Brackets &amp; 14 ft cable - Green</t>
  </si>
  <si>
    <t>EL3PH12A00J</t>
  </si>
  <si>
    <t>UltraLITE Plus 12 Module Interior LED Lightbar w/ Universal L-Brackets &amp; 14 ft cable - Red/Blue</t>
  </si>
  <si>
    <t>EL3PH12A00K</t>
  </si>
  <si>
    <t>UltraLITE Plus 12 Module Interior LED Lightbar w/ Universal L-Brackets &amp; 14 ft cable - Red/Amber</t>
  </si>
  <si>
    <t>EL3PH12A00M</t>
  </si>
  <si>
    <t>UltraLITE Plus 12 Module Interior LED Lightbar w/ Universal L-Brackets &amp; 14 ft cable - Blue/Amber</t>
  </si>
  <si>
    <t>EL3PH12A00N</t>
  </si>
  <si>
    <t>UltraLITE Plus 12 Module Interior LED Lightbar w/ Universal L-Brackets &amp; 14 ft cable - Blue/Green</t>
  </si>
  <si>
    <t>EL3PH12A00R</t>
  </si>
  <si>
    <t>UltraLITE Plus 12 Module Interior LED Lightbar w/ Universal L-Brackets &amp; 14 ft cable - Red</t>
  </si>
  <si>
    <t>EL3PH12A00W</t>
  </si>
  <si>
    <t>UltraLITE Plus 12 Module Interior LED Lightbar w/ Universal L-Brackets &amp; 14 ft cable - White</t>
  </si>
  <si>
    <t>EL3PH12A10B</t>
  </si>
  <si>
    <t>UltraLITE Plus 12 Module Interior LED Lightbar w/ Single Warning Ends, Universal L-Brackets &amp; 14 ft cable - Amber Center w/ Blue Warning Ends</t>
  </si>
  <si>
    <t>EL3PH12A10J</t>
  </si>
  <si>
    <t>UltraLITE Plus 12 Module Interior LED Lightbar w/ Single Warning Ends, Universal L-Brackets &amp; 14 ft cable - Amber Center w/ Red/Blue Warning Ends</t>
  </si>
  <si>
    <t>EL3PH12A10R</t>
  </si>
  <si>
    <t>UltraLITE Plus 12 Module Interior LED Lightbar w/ Single Warning Ends, Universal L-Brackets &amp; 14 ft cable - Amber Center w/ Red Warning Ends</t>
  </si>
  <si>
    <t>EL3PH12A20B</t>
  </si>
  <si>
    <t>UltraLITE Plus 12 Module Interior LED Lightbar w/ Dual Warning Ends, Universal L-Brackets &amp; 14 ft cable - Amber Center w/ Blue Warning Ends</t>
  </si>
  <si>
    <t>EL3PH12A20G</t>
  </si>
  <si>
    <t>UltraLITE Plus 12 Module Interior LED Lightbar w/ Dual Warning Ends, Universal L-Brackets &amp; 14 ft cable - Amber Center w/ Green Warning Ends</t>
  </si>
  <si>
    <t>EL3PH12A20H</t>
  </si>
  <si>
    <t>UltraLITE Plus 12 Module Interior LED Lightbar w/ Dual Warning Ends, Universal L-Brackets &amp; 14 ft cable - Amber Center w/ Green/White Warning Ends</t>
  </si>
  <si>
    <t>EL3PH12A20J</t>
  </si>
  <si>
    <t>UltraLITE Plus 12 Module Interior LED Lightbar w/ Dual Warning Ends, Universal L-Brackets &amp; 14 ft cable - Amber Center w/ Red/Blue Warning Ends</t>
  </si>
  <si>
    <t>EL3PH12A20K</t>
  </si>
  <si>
    <t>UltraLITE Plus 12 Module Interior LED Lightbar w/ Dual Warning Ends, Universal L-Brackets &amp; 14 ft cable - Amber Center w/ Red/Amber Warning Ends</t>
  </si>
  <si>
    <t>EL3PH12A20R</t>
  </si>
  <si>
    <t>UltraLITE Plus 12 Module Interior LED Lightbar w/ Dual Warning Ends, Universal L-Brackets &amp; 14 ft cable - Amber Center w/ Red Warning Ends</t>
  </si>
  <si>
    <t>EL3PH12A20W</t>
  </si>
  <si>
    <t>UltraLITE Plus 12 Module Interior LED Lightbar w/ Dual Warning Ends, Universal L-Brackets &amp; 14 ft cable - Amber Center w/ White Warning Ends</t>
  </si>
  <si>
    <t>EL3PH12B10B</t>
  </si>
  <si>
    <t>UltraLITE Plus 12 Module Interior LED Lightbar w/ Single Warning Ends (flash independent from arrow), Universal L- Brackets &amp; 14 ft cable - Amber Center w/ Blue Warning Ends</t>
  </si>
  <si>
    <t>EL3PH12B10J</t>
  </si>
  <si>
    <t>UltraLITE Plus 12 Module Interior LED Lightbar w/ Single Warning Ends (flash independent from arrow), Universal L- Brackets &amp; 14 ft cable - Amber Center w/ Red/Blue Warning Ends</t>
  </si>
  <si>
    <t>EL3PH12B10R</t>
  </si>
  <si>
    <t>UltraLITE Plus 12 Module Interior LED Lightbar w/ Single Warning Ends (flash independent from arrow), Universal L- Brackets &amp; 14 ft cable - Amber Center w/ Red Warning Ends</t>
  </si>
  <si>
    <t>EL3PH12B20A</t>
  </si>
  <si>
    <t>UltraLITE Plus 12 Module Interior LED Lightbar w/ Dual Warning Ends (flash independent from arrow), Universal L-Brackets &amp; 14 ft cable - Amber Center w/ Amber Warning Ends</t>
  </si>
  <si>
    <t>EL3PH12B20B</t>
  </si>
  <si>
    <t>UltraLITE Plus 12 Module Interior LED Lightbar w/ Dual Warning Ends (flash independent from arrow), Universal L-Brackets &amp; 14 ft cable - Amber Center w/ Blue Warning Ends</t>
  </si>
  <si>
    <t>EL3PH12B20E</t>
  </si>
  <si>
    <t>UltraLITE Plus 12 Module Interior LED Lightbar w/ Dual Warning Ends (flash independent from arrow), Universal L-Brackets &amp; 14 ft cable - Amber Center w/ Blue/White Warning Ends</t>
  </si>
  <si>
    <t>EL3PH12B20G</t>
  </si>
  <si>
    <t>UltraLITE Plus 12 Module Interior LED Lightbar w/ Dual Warning Ends (flash independent from arrow), Universal L-Brackets &amp; 14 ft cable - Amber Center w/ Green Warning Ends</t>
  </si>
  <si>
    <t>EL3PH12B20H</t>
  </si>
  <si>
    <t>UltraLITE Plus 12 Module Interior LED Lightbar w/ Dual Warning Ends (flash independent from arrow), Universal L-Brackets &amp; 14 ft cable - Amber Center w/ Green/White Warning Ends</t>
  </si>
  <si>
    <t>EL3PH12B20J</t>
  </si>
  <si>
    <t>UltraLITE Plus 12 Module Interior LED Lightbar w/ Dual Warning Ends (flash independent from arrow), Universal L-Brackets &amp; 14 ft cable - Amber Center w/ Red/Blue Warning Ends</t>
  </si>
  <si>
    <t>EL3PH12B20K</t>
  </si>
  <si>
    <t>UltraLITE Plus 12 Module Interior LED Lightbar w/ Dual Warning Ends (flash independent from arrow), Universal L-Brackets &amp; 14 ft cable - Amber Center w/ Red/Amber Warning Ends</t>
  </si>
  <si>
    <t>EL3PH12B20R</t>
  </si>
  <si>
    <t>UltraLITE Plus 12 Module Interior LED Lightbar w/ Dual Warning Ends (flash independent from arrow), Universal L-Brackets &amp; 14 ft cable - Amber Center w/ Red Warning Ends</t>
  </si>
  <si>
    <t>EL3PH04A0+A</t>
  </si>
  <si>
    <t>UltraLITE Plus 4 Module Interior Windshield Mount Lightbar includes 12v Cigar Plug, Suction Cup Mount &amp; Universal Headliner Brackets (pair) - Amber</t>
  </si>
  <si>
    <t>EL3PH04A0+B</t>
  </si>
  <si>
    <t>UltraLITE Plus 4 Module Interior Windshield Mount Lightbar includes 12v Cigar Plug, Suction Cup Mount &amp; Universal Headliner Brackets (pair) - Blue</t>
  </si>
  <si>
    <t>EL3PH04A0+D</t>
  </si>
  <si>
    <t>UltraLITE Plus 4 Module Interior Windshield Mount Lightbar includes 12v Cigar Plug, Suction Cup Mount &amp; Universal Headliner Brackets (pair) - Red/White</t>
  </si>
  <si>
    <t>EL3PH04A0+E</t>
  </si>
  <si>
    <t>UltraLITE Plus 4 Module Interior Windshield Mount Lightbar includes 12v Cigar Plug, Suction Cup Mount &amp; Universal Headliner Brackets (pair) - Blue/White</t>
  </si>
  <si>
    <t>EL3PH04A0+F</t>
  </si>
  <si>
    <t>UltraLITE Plus 4 Module Interior Windshield Mount Lightbar includes 12v Cigar Plug, Suction Cup Mount &amp; Universal Headliner Brackets (pair) - Amber/White</t>
  </si>
  <si>
    <t>EL3PH04A0+G</t>
  </si>
  <si>
    <t>UltraLITE Plus 4 Module Interior Windshield Mount Lightbar includes 12v Cigar Plug, Suction Cup Mount &amp; Universal Headliner Brackets (pair) - Green</t>
  </si>
  <si>
    <t>EL3PH04A0+H</t>
  </si>
  <si>
    <t>UltraLITE Plus 4 Module Interior Windshield Mount Lightbar includes 12v Cigar Plug, Suction Cup Mount &amp; Universal Headliner Brackets (pair) - Green/White</t>
  </si>
  <si>
    <t>EL3PH04A0+J</t>
  </si>
  <si>
    <t>UltraLITE Plus 4 Module Interior Windshield Mount Lightbar includes 12v Cigar Plug, Suction Cup Mount &amp; Universal Headliner Brackets (pair) - Red/Blue</t>
  </si>
  <si>
    <t>EL3PH04A0+K</t>
  </si>
  <si>
    <t>UltraLITE Plus 4 Module Interior Windshield Mount Lightbar includes 12v Cigar Plug, Suction Cup Mount &amp; Universal Headliner Brackets (pair) - Red/Amber</t>
  </si>
  <si>
    <t>EL3PH04A0+L</t>
  </si>
  <si>
    <t>UltraLITE Plus 4 Module Interior Windshield Mount Lightbar includes 12v Cigar Plug, Suction Cup Mount &amp; Universal Headliner Brackets (pair) - Red/Green</t>
  </si>
  <si>
    <t>EL3PH04A0+M</t>
  </si>
  <si>
    <t>UltraLITE Plus 4 Module Interior Windshield Mount Lightbar includes 12v Cigar Plug, Suction Cup Mount &amp; Universal Headliner Brackets (pair) - Blue/Amber</t>
  </si>
  <si>
    <t>EL3PH04A0+P</t>
  </si>
  <si>
    <t>UltraLITE Plus 4 Module Interior Windshield Mount Lightbar includes 12v Cigar Plug, Suction Cup Mount &amp; Universal Headliner Brackets (pair) - Green/Amber</t>
  </si>
  <si>
    <t>EL3PH04A0+R</t>
  </si>
  <si>
    <t>UltraLITE Plus 4 Module Interior Windshield Mount Lightbar includes 12v Cigar Plug, Suction Cup Mount &amp; Universal Headliner Brackets (pair) - Red</t>
  </si>
  <si>
    <t>EL3PH04A0+W</t>
  </si>
  <si>
    <t>UltraLITE Plus 4 Module Interior Windshield Mount Lightbar includes 12v Cigar Plug, Suction Cup Mount &amp; Universal Headliner Brackets (pair) - White</t>
  </si>
  <si>
    <t>EL3PZ08A00A</t>
  </si>
  <si>
    <t>UltraLITE Plus 8 Module Interior Windshield Mount Lightbar w/ Permanent Headliner Brackets (pair) &amp; 11.5 foot shielded cable - Amber</t>
  </si>
  <si>
    <t>EL3PZ08A00B</t>
  </si>
  <si>
    <t>UltraLITE Plus 8 Module Interior Windshield Mount Lightbar w/ Permanent Headliner Brackets (pair) &amp; 11.5 foot shielded cable - Blue</t>
  </si>
  <si>
    <t>EL3PZ08A00D</t>
  </si>
  <si>
    <t>UltraLITE Plus 8 Module Interior Windshield Mount Lightbar w/ Permanent Headliner Brackets (pair) &amp; 11.5 foot shielded cable - Red/White</t>
  </si>
  <si>
    <t>EL3PZ08A00E</t>
  </si>
  <si>
    <t>UltraLITE Plus 8 Module Interior Windshield Mount Lightbar w/ Permanent Headliner Brackets (pair) &amp; 11.5 foot shielded cable - Blue/White</t>
  </si>
  <si>
    <t>EL3PZ08A00F</t>
  </si>
  <si>
    <t>UltraLITE Plus 8 Module Interior Windshield Mount Lightbar w/ Permanent Headliner Brackets (pair) &amp; 11.5 foot shielded cable - Amber/White</t>
  </si>
  <si>
    <t>EL3PZ08A00G</t>
  </si>
  <si>
    <t>UltraLITE Plus 8 Module Interior Windshield Mount Lightbar w/ Permanent Headliner Brackets (pair) &amp; 11.5 foot shielded cable - Green</t>
  </si>
  <si>
    <t>EL3PZ08A00J</t>
  </si>
  <si>
    <t>UltraLITE Plus 8 Module Interior Windshield Mount Lightbar w/ Permanent Headliner Brackets (pair) &amp; 11.5 foot shielded cable - Red/Blue</t>
  </si>
  <si>
    <t>EL3PZ08A00K</t>
  </si>
  <si>
    <t>UltraLITE Plus 8 Module Interior Windshield Mount Lightbar w/ Permanent Headliner Brackets (pair) &amp; 11.5 foot shielded cable - Red/Amber</t>
  </si>
  <si>
    <t>EL3PZ08A00L</t>
  </si>
  <si>
    <t>UltraLITE Plus 8 Module Interior Windshield Mount Lightbar w/ Permanent Headliner Brackets (pair) &amp; 11.5 foot shielded cable - Red/Green</t>
  </si>
  <si>
    <t>EL3PZ08A00M</t>
  </si>
  <si>
    <t>UltraLITE Plus 8 Module Interior Windshield Mount Lightbar w/ Permanent Headliner Brackets (pair) &amp; 11.5 foot shielded cable - Blue/Amber</t>
  </si>
  <si>
    <t>EL3PZ08A00N</t>
  </si>
  <si>
    <t>UltraLITE Plus 8 Module Interior Windshield Mount Lightbar w/ Permanent Headliner Brackets (pair) &amp; 11.5 foot shielded cable - Blue/Green</t>
  </si>
  <si>
    <t>EL3PZ08A00R</t>
  </si>
  <si>
    <t>UltraLITE Plus 8 Module Interior Windshield Mount Lightbar w/ Permanent Headliner Brackets (pair) &amp; 11.5 foot shielded cable - Red</t>
  </si>
  <si>
    <t>EL3PZ08A00W</t>
  </si>
  <si>
    <t>UltraLITE Plus 8 Module Interior Windshield Mount Lightbar w/ Permanent Headliner Brackets (pair) &amp; 11.5 foot shielded cable - White</t>
  </si>
  <si>
    <t>EL3PZ12A00A</t>
  </si>
  <si>
    <t>UltraLITE Plus 12 Module Interior Windshield Mount Lightbar w/ Permanent Headliner Brackets (pair) &amp; 11.5 foot shielded cable - Amber</t>
  </si>
  <si>
    <t>EL3PZ12A00B</t>
  </si>
  <si>
    <t>UltraLITE Plus 12 Module Interior Windshield Mount Lightbar w/ Permanent Headliner Brackets (pair) &amp; 11.5 foot shielded cable - Blue</t>
  </si>
  <si>
    <t>EL3PZ12A00D</t>
  </si>
  <si>
    <t>UltraLITE Plus 12 Module Interior Windshield Mount Lightbar w/ Permanent Headliner Brackets (pair) &amp; 11.5 foot shielded cable - Red/White</t>
  </si>
  <si>
    <t>EL3PZ12A00E</t>
  </si>
  <si>
    <t>UltraLITE Plus 12 Module Interior Windshield Mount Lightbar w/ Permanent Headliner Brackets (pair) &amp; 11.5 foot shielded cable - Blue/White</t>
  </si>
  <si>
    <t>EL3PZ12A00F</t>
  </si>
  <si>
    <t>UltraLITE Plus 12 Module Interior Windshield Mount Lightbar w/ Permanent Headliner Brackets (pair) &amp; 11.5 foot shielded cable - Amber/White</t>
  </si>
  <si>
    <t>EL3PZ12A00H</t>
  </si>
  <si>
    <t>UltraLITE Plus 12 Module Interior Windshield Mount Lightbar w/ Permanent Headliner Brackets (pair) &amp; 11.5 foot shielded cable - Green/White</t>
  </si>
  <si>
    <t>EL3PZ12A00J</t>
  </si>
  <si>
    <t>UltraLITE Plus 12 Module Interior Windshield Mount Lightbar w/ Permanent Headliner Brackets (pair) &amp; 11.5 foot shielded cable - Red/Blue</t>
  </si>
  <si>
    <t>EL3PZ12A00K</t>
  </si>
  <si>
    <t>UltraLITE Plus 12 Module Interior Windshield Mount Lightbar w/ Permanent Headliner Brackets (pair) &amp; 11.5 foot shielded cable - Red/Amber</t>
  </si>
  <si>
    <t>EL3PZ12A00M</t>
  </si>
  <si>
    <t>UltraLITE Plus 12 Module Interior Windshield Mount Lightbar w/ Permanent Headliner Brackets (pair) &amp; 11.5 foot shielded cable - Blue/Amber</t>
  </si>
  <si>
    <t>EL3PZ12A00R</t>
  </si>
  <si>
    <t>UltraLITE Plus 12 Module Interior Windshield Mount Lightbar w/ Permanent Headliner Brackets (pair) &amp; 11.5 foot shielded cable - Red</t>
  </si>
  <si>
    <t>EL3PZ12A00W</t>
  </si>
  <si>
    <t>UltraLITE Plus 12 Module Interior Windshield Mount Lightbar w/ Permanent Headliner Brackets (pair) &amp; 11.5 foot shielded cable - White</t>
  </si>
  <si>
    <t>ETSP6F</t>
  </si>
  <si>
    <t>600 Series Switch w/ 6 Functions: 6 Rocker Switches, includes Universal Bail Bracket - 12v</t>
  </si>
  <si>
    <t>ETCPMP801</t>
  </si>
  <si>
    <t>800 Series Multi-purpose Control Panel and Switch Module w/ 8 Button Programming and Directional Arrow Function; includes Power Module &amp; 35 selectable icon stickers</t>
  </si>
  <si>
    <t>ETCPMP802</t>
  </si>
  <si>
    <t>800 Series Multi-purpose Control Panel, Low Current and Switch Module w/ 8 Button Programming and Directional Arrow Function; includes 35 selectable icon stickers</t>
  </si>
  <si>
    <t>ETSP9F</t>
  </si>
  <si>
    <t>900 Series Switch w/ 9 Functions: 6 Rocker Switches &amp; 3-position Progressive Slide Switch, includes Universal Bail Bracket - 12v</t>
  </si>
  <si>
    <t>ETSWDAS01</t>
  </si>
  <si>
    <t>Directional Arrow Switch (DAS) - 10-30v, compatible with APEX, Pinnacle (EPL9000 &amp; EPL8000), ETL5000 Lightbars &amp; UltraLITE</t>
  </si>
  <si>
    <t>ETSWDAS02</t>
  </si>
  <si>
    <t>Directional Arrow Switch (DAS) 10-30v, compatible with TrafficMaster &amp; Traffic Arrow Bars</t>
  </si>
  <si>
    <t>ETFBSANFL</t>
  </si>
  <si>
    <t>Flashback Alternating Taillight Flasher, Solid State w/ AMP Connector &amp; Fleet Harness - 2.4 f.p.s.</t>
  </si>
  <si>
    <t>ETFBSSN-P</t>
  </si>
  <si>
    <t>Flashback Alternating Taillight Flasher, Solid State - 2.4 f.p.s.</t>
  </si>
  <si>
    <t>ETTFFUT-16</t>
  </si>
  <si>
    <t>Flashback Plug-In Alternating Taillight Flasher, Solid State - 2.4 f.p.s. for Ford PI Utility 2016-2020</t>
  </si>
  <si>
    <t>ETHFSS-NYPD-75</t>
  </si>
  <si>
    <t>Isolation Headlight Flasher 75 FPM, Solid State w/ RoadRunner Flash Pattern, 12v (for systems requiring electrical isolation), 4 ft Matting Harness &amp; Weatherproof Connectors</t>
  </si>
  <si>
    <t>ETHFK01</t>
  </si>
  <si>
    <t>Headlight Flasher Kit, contains: Select-A-Pattern Headlight Flasher w/ Connectors on the exiting wires &amp; Wire Harness for use on Dodge Ram 2018-2020</t>
  </si>
  <si>
    <t>ETISS0-07+</t>
  </si>
  <si>
    <t>Ignition Security System (I.S.S.), Standard Model</t>
  </si>
  <si>
    <t>EGTTE794H</t>
  </si>
  <si>
    <t>Opticom™ Infrared LED Emitter Module - Model 794H (non-lightbar version) includes Bracket &amp; Mounting Hardware, 25 ft Cable w/ mating connector</t>
  </si>
  <si>
    <t>ETHFSS-FV</t>
  </si>
  <si>
    <t>Select-A-Pattern Headlight Flasher, Solid State, 12v Isolation Model (for systems requiring electrical isolation) for Ford Utility 2016+</t>
  </si>
  <si>
    <t>ETHFSS-SP</t>
  </si>
  <si>
    <t>Select-A-Pattern Headlight Flasher, Solid State w/ 18" wire leads (compatible w/ 2016+ Ford PI Utility)
9.5 amp</t>
  </si>
  <si>
    <t>ETHFSS-SP-ISO</t>
  </si>
  <si>
    <t>Select-A-Pattern Headlight Flasher, Solid State, 12v Isolation Model (for systems requiring electrical isolation)</t>
  </si>
  <si>
    <t>ETTFK02</t>
  </si>
  <si>
    <t>Taillight Flasher Kit for Dodge Durango 2010-2023, contains: Flashback Alternating Taillight Flasher with connectors on exit wires &amp; Wire Harness</t>
  </si>
  <si>
    <t>ETTFK03</t>
  </si>
  <si>
    <t>Taillight Flasher Kit for Dodge Charger 2010-2023, contains: Flashback Alternating Taillight Flasher with connectors on exit wires &amp; Wire Harness</t>
  </si>
  <si>
    <t>WT100 Backup Alarm</t>
  </si>
  <si>
    <t>ETBUALM03</t>
  </si>
  <si>
    <t>ECVDMLTST2</t>
  </si>
  <si>
    <t>Dome Light - Rectangular, Flush Surface Mount, Black Base, 7" x 3", White LEDs</t>
  </si>
  <si>
    <t>ECVDMLTST4G</t>
  </si>
  <si>
    <t>Dome Light, Rectangular - Flush Surface Mount, Grey Base, 6" x 3", White LEDs</t>
  </si>
  <si>
    <t>EWLPT002</t>
  </si>
  <si>
    <t>Novalux Light, E-type approved, White finish, 320 Lumens, White</t>
  </si>
  <si>
    <t>EWLPT003</t>
  </si>
  <si>
    <t>Novalux Low Profile Light with Integrated On/Off Switch, E-type approved, White finish, 354 Lumens, White</t>
  </si>
  <si>
    <t>EBSDL0003-W</t>
  </si>
  <si>
    <t>obSERVE Dome Light - 8" Round, Single Color - White</t>
  </si>
  <si>
    <t>ECVDMLTALDC</t>
  </si>
  <si>
    <t>obSERVE Dome Light - 6" Round, White and Red Night Light LEDs, White Lens, Fits Dodge Charger, Ford PI Sedan &amp; Utility</t>
  </si>
  <si>
    <t>EBSDL0001-W</t>
  </si>
  <si>
    <t>obSERVE+ Dome Light - 3" Round, Single Color - White</t>
  </si>
  <si>
    <t>EBSDL0002-E</t>
  </si>
  <si>
    <t>obSERVE+ Dome Light - 3" Round, Dual Color - Blue/White</t>
  </si>
  <si>
    <t>ECVCSLLED10</t>
  </si>
  <si>
    <t>10" 90° Corner Mount Cargo Light, 12v - White Housing/White LEDs</t>
  </si>
  <si>
    <t>ECVCSLLED21</t>
  </si>
  <si>
    <t>21" 90° Corner Mount Cargo Light, 12v - White Housing/White LEDs</t>
  </si>
  <si>
    <t>ECVCSLLED43</t>
  </si>
  <si>
    <t>43" 90° Corner Mount Cargo Light, 12v - White Housing/White LEDs</t>
  </si>
  <si>
    <t>ECVCSMLEDF</t>
  </si>
  <si>
    <t>12" LED Utility Strip Light, Surface Mount - White</t>
  </si>
  <si>
    <t>ETRDVK002</t>
  </si>
  <si>
    <t>Rapid Deployment Vehicle Warning Kit, comes with a Case, (6) mpower® Arrow Kit modules, with Red/Blue/White LEDs, Single &amp; Dual Shroud Dual Lock Kits, 100J Speaker, Speaker Bracket Kit &amp; Handheld Controller</t>
  </si>
  <si>
    <t>ETRDVK003</t>
  </si>
  <si>
    <t>Rapid Deployment Vehicle Warning Kit, Berry Amendment Compliant, comes with a Case, (6) mpower® Arrow Kit modules, with Red/Blue/White LEDs, Single &amp; Dual Shroud Dual Lock Kits, 100U Speaker, Speaker Bracket Kit &amp; Handheld Controller</t>
  </si>
  <si>
    <t>RTL-ENFWB00006</t>
  </si>
  <si>
    <t>ORV Interior Lightbar for Chevrolet Silverado 1500 2019.5 mid-year change - 2025 &amp; Silverado 2500HD and 3500HD 2020-2025, Sierra 1500 2019.5 mid-year change -2025, Sierra 2500HD, 3500HD 2020-2025, 8 Module, Split 2 Piece, Amber/White</t>
  </si>
  <si>
    <t>RTL-ENFWB00007</t>
  </si>
  <si>
    <t>ORV Interior Lightbar for Ford Expedition 2018-2024, 8 Module, Split 2 Piece, Amber/White</t>
  </si>
  <si>
    <t>RTL-ENFWB00004</t>
  </si>
  <si>
    <t>ORV Interior Lightbar for Ford F-150 2015-2024, 8 Module, Split 2 Piece, Amber/White</t>
  </si>
  <si>
    <t>RTL-ENFWB00008</t>
  </si>
  <si>
    <t>ORV Interior Lightbar, 8 Module, Split 2 Piece, 12 LEDs, Dual Color Amber/White for Ford Super Duty F250-F550, 2017-2025</t>
  </si>
  <si>
    <t>RTL-ENFWB00001</t>
  </si>
  <si>
    <t>ORV Interior Lightbar for Jeep Wrangler JL 2018-2025, Gladiator JT 2018-2025 w/o adaptive cruise control (ACC), 10 Module, Full 1 Piece, Amber/White</t>
  </si>
  <si>
    <t>RTL-ENFWB00002</t>
  </si>
  <si>
    <t>ORV Interior Lightbar for Jeep Wrangler JL 2018-2025, Gladiator JT 2018-2025 w/ adaptive cruise control (ACC), 8 Module, Split 2 Piece, Amber/White</t>
  </si>
  <si>
    <t>RTL-ENFWB00003</t>
  </si>
  <si>
    <t>ORV Interior Lightbar for Jeep Wrangler JK 2007-2018, 10 module, Full 1 Piece, Amber/White</t>
  </si>
  <si>
    <t>mpower® ORV 12" Lightbar</t>
  </si>
  <si>
    <t>RTL-EMPLR00005</t>
  </si>
  <si>
    <t>mpower® ORV 18" Lightbar</t>
  </si>
  <si>
    <t>RTL-EMPLR00006</t>
  </si>
  <si>
    <t>mpower® ORV 24" Lightbar</t>
  </si>
  <si>
    <t>RTL-EMPLR00004</t>
  </si>
  <si>
    <t>EPL7HDAA</t>
  </si>
  <si>
    <t>Pinnacle Mini Lightbar (EPL7000) - High Height Permanent Mount (for larger vehicles) w/ 12 ft cable for hardwire installation – Amber Dome/Amber LEDs</t>
  </si>
  <si>
    <t>EPL7HDAC</t>
  </si>
  <si>
    <t>Pinnacle Mini Lightbar (EPL7000) - High Height Permanent Mount (for larger vehicles) w/ 12 ft cable for hardwire installation – Amber LEDs</t>
  </si>
  <si>
    <t>EPL7HDBC</t>
  </si>
  <si>
    <t>Pinnacle Mini Lightbar (EPL7000) SAE Class 1 - High Height Permanent Mount (for larger vehicles) w/ 12 ft cable for hardwire installation – Blue LEDs</t>
  </si>
  <si>
    <t>EPL7HDDC</t>
  </si>
  <si>
    <t>Pinnacle Mini Lightbar (EPL7000) - High Height Permanent Mount (for larger vehicles) w/ 12 ft cable for hardwire installation – Red &amp; White LEDs</t>
  </si>
  <si>
    <t>EPL7HDFC</t>
  </si>
  <si>
    <t>Pinnacle Mini Lightbar (EPL7000) - High Height Permanent Mount (for larger vehicles) w/ 12 ft cable for hardwire installation – Amber &amp; White LEDs</t>
  </si>
  <si>
    <t>EPL7HDJC</t>
  </si>
  <si>
    <t>Pinnacle Mini Lightbar (EPL7000) SAE Class 1 - High Height Permanent Mount (for larger vehicles) w/ 12 ft cable for hardwire installation – Red &amp; Blue LEDs</t>
  </si>
  <si>
    <t>EPL7HDKC</t>
  </si>
  <si>
    <t>Pinnacle Mini Lightbar (EPL7000) - High Height Permanent Mount (for larger vehicles) w/ 12 ft cable for hardwire installation – Red &amp; Amber LEDs</t>
  </si>
  <si>
    <t>EPL7HDRC</t>
  </si>
  <si>
    <t>Pinnacle Mini Lightbar (EPL7000) SAE Class 1 - High Height Permanent Mount (for larger vehicles) w/ 12 ft cable for hardwire installation – Red LEDs</t>
  </si>
  <si>
    <t>EPL7HFAA</t>
  </si>
  <si>
    <t>Pinnacle Mini Lightbar (EPL7000) - High Height Permanent Mount (for larger vehicles) w/ 25 ft cable for hardwire installation – Amber Dome w/ Amber LEDs</t>
  </si>
  <si>
    <t>EPL7HFAC</t>
  </si>
  <si>
    <t>Pinnacle Mini Lightbar (EPL7000) - High Height Permanent Mount (for larger vehicles) w/ 25 ft cable for hardwire installation – Amber LEDs</t>
  </si>
  <si>
    <t>EPL7HFBC</t>
  </si>
  <si>
    <t>Pinnacle Mini Lightbar (EPL7000) SAE Class 1 - High Height Permanent Mount (for larger vehicles) w/ 25 ft cable for hardwire installation – Blue LEDs</t>
  </si>
  <si>
    <t>EPL7HFDC</t>
  </si>
  <si>
    <t>Pinnacle Mini Lightbar (EPL7000) SAE Class 1 - High Height Permanent Mount (for larger vehicles) w/ 25 ft cable for hardwire installation – Red/White LEDs</t>
  </si>
  <si>
    <t>EPL7HFFC</t>
  </si>
  <si>
    <t>Pinnacle Mini Lightbar (EPL7000) - High Height Permanent Mount (for larger vehicles) w/ 25 ft cable for hardwire installation – Amber/White LEDs</t>
  </si>
  <si>
    <t>EPL7HFJC</t>
  </si>
  <si>
    <t>Pinnacle Mini Lightbar (EPL7000) SAE Class 1 - High Height Permanent Mount (for larger vehicles) w/ 25 ft cable for hardwire installation – Red/Blue LEDs</t>
  </si>
  <si>
    <t>EPL7HFRC</t>
  </si>
  <si>
    <t>Pinnacle Mini Lightbar (EPL7000) SAE Class 1 - High Height Permanent Mount (for larger vehicles) w/ 25 ft cable for hardwire installation – Red LEDs</t>
  </si>
  <si>
    <t>EPL7HFWC</t>
  </si>
  <si>
    <t>Pinnacle Mini Lightbar (EPL7000) SAE Class 1 - High Height Permanent Mount (for larger vehicles) w/ 25 ft cable for hardwire installation – White LEDs</t>
  </si>
  <si>
    <t>EPL7M+AA</t>
  </si>
  <si>
    <t>Pinnacle Mini Lightbar (EPL7000) - Magnetic Mount, 10 ft cord w/ 12v Cigar Plug – Amber Dome/Amber LEDs</t>
  </si>
  <si>
    <t>EPL7M+AC</t>
  </si>
  <si>
    <t>Pinnacle Mini Lightbar (EPL7000) - Magnetic Mount, 10 ft cord w/ 12v Cigar Plug – Amber LEDs</t>
  </si>
  <si>
    <t>EPL7M+BC</t>
  </si>
  <si>
    <t>Pinnacle Mini Lightbar (EPL7000)  SAE Class 1 - Magnetic Mount, 10 ft cord w/ 12v Cigar Plug – Blue LEDs</t>
  </si>
  <si>
    <t>EPL7M+DC</t>
  </si>
  <si>
    <t>Pinnacle Mini Lightbar (EPL7000) SAE Class 1 - Magnetic Mount, 10 ft cord w/ 12v Cigar Plug – Red/White LEDs</t>
  </si>
  <si>
    <t>EPL7M+EC</t>
  </si>
  <si>
    <t>Pinnacle Mini Lightbar (EPL7000)  SAE Class 1 - Magnetic Mount, 10 ft cord w/ 12v Cigar Plug – Blue/White LEDs</t>
  </si>
  <si>
    <t>EPL7M+FC</t>
  </si>
  <si>
    <t>Pinnacle Mini Lightbar (EPL7000) - Magnetic Mount, 10 ft cord w/ 12v Cigar Plug – Amber/White LEDs</t>
  </si>
  <si>
    <t>EPL7M+GC</t>
  </si>
  <si>
    <t>Pinnacle Mini Lightbar (EPL7000) - Magnetic Mount, 10 ft cord w/ 12v Cigar Plug – Green LEDs</t>
  </si>
  <si>
    <t>EPL7M+HC</t>
  </si>
  <si>
    <t>Pinnacle Mini Lightbar (EPL7000) - Magnetic Mount, 10 ft cord w/ 12v Cigar Plug – Green/White LEDs</t>
  </si>
  <si>
    <t>EPL7M+JC</t>
  </si>
  <si>
    <t>Pinnacle Mini Lightbar (EPL7000)  SAE Class 1 - Magnetic Mount, 10 ft cord w/ 12v Cigar Plug – Red/Blue LEDs</t>
  </si>
  <si>
    <t>EPL7M+KC</t>
  </si>
  <si>
    <t>Pinnacle Mini Lightbar (EPL7000) - Magnetic Mount, 10 ft cord w/ 12v Cigar Plug – Red/Amber LEDs</t>
  </si>
  <si>
    <t>EPL7M+MC</t>
  </si>
  <si>
    <t>Pinnacle Mini Lightbar (EPL7000) - Magnetic Mount, 10 ft cord w/ 12v Cigar Plug – Blue/Amber LEDs</t>
  </si>
  <si>
    <t>EPL7M+PC</t>
  </si>
  <si>
    <t>Pinnacle Mini Lightbar (EPL7000) - Magnetic Mount, 10 ft cord w/ 12v Cigar Plug – Green/Amber LEDs</t>
  </si>
  <si>
    <t>EPL7M+RC</t>
  </si>
  <si>
    <t>Pinnacle Mini Lightbar (EPL7000) SAE Class 1 - Magnetic Mount, 10 ft cord w/ 12v Cigar Plug – Red LEDs</t>
  </si>
  <si>
    <t>EPL7M+WC</t>
  </si>
  <si>
    <t>Pinnacle Mini Lightbar (EPL7000) SAE Class 1 - Magnetic Mount, 10 ft cord w/ 12v Cigar Plug – White LEDs</t>
  </si>
  <si>
    <t>EPL7PDAA</t>
  </si>
  <si>
    <t>Pinnacle Mini Lightbar (EPL7000) - Standard Permanent Mount w/ 12 ft cable for hardwire installation – Amber Dome w/ Amber LEDs</t>
  </si>
  <si>
    <t>EPL7PDAC</t>
  </si>
  <si>
    <t>Pinnacle Mini Lightbar (EPL7000) - Standard Permanent Mount w/ 12 ft cable for hardwire installation – Amber LEDs</t>
  </si>
  <si>
    <t>EPL7PDBC</t>
  </si>
  <si>
    <t>Pinnacle Mini Lightbar (EPL7000) SAE Class 1 - Standard Permanent Mount w/ 12 ft cable for hardwire installation – Blue LEDs</t>
  </si>
  <si>
    <t>EPL7PDDC</t>
  </si>
  <si>
    <t>Pinnacle Mini Lightbar (EPL7000) SAE Class 1 - Standard Permanent Mount w/ 12 ft cable for hardwire installation – Red/White LEDs</t>
  </si>
  <si>
    <t>EPL7PDEC</t>
  </si>
  <si>
    <t>Pinnacle Mini Lightbar (EPL7000) SAE Class 1 - Standard Permanent Mount w/ 12 ft cable for hardwire installation – Blue/White LEDs</t>
  </si>
  <si>
    <t>EPL7PDFC</t>
  </si>
  <si>
    <t>Pinnacle Mini Lightbar (EPL7000) - Standard Permanent Mount w/ 12 ft cable for hardwire installation – Amber/White LEDs</t>
  </si>
  <si>
    <t>EPL7PDGC</t>
  </si>
  <si>
    <t>Pinnacle Mini Lightbar (EPL7000) - Standard Permanent Mount w/ 12 ft cable for hardwire installation – Green LEDs</t>
  </si>
  <si>
    <t>EPL7PDHC</t>
  </si>
  <si>
    <t>Pinnacle Mini Lightbar (EPL7000) - Standard Permanent Mount w/ 12 ft cable for hardwire installation – Green/White LEDs</t>
  </si>
  <si>
    <t>EPL7PDJC</t>
  </si>
  <si>
    <t>Pinnacle Mini Lightbar (EPL7000) SAE Class 1 - Standard Permanent Mount w/ 12 ft cable for hardwire installation – Red/Blue LEDs</t>
  </si>
  <si>
    <t>EPL7PDKC</t>
  </si>
  <si>
    <t>Pinnacle Mini Lightbar (EPL7000) - Standard Permanent Mount w/ 12 ft cable for hardwire installation – Red/Amber LEDs</t>
  </si>
  <si>
    <t>EPL7PDMC</t>
  </si>
  <si>
    <t>Pinnacle Mini Lightbar (EPL7000) - Standard Permanent Mount w/ 12 ft cable for hardwire installation – Blue/Amber LEDs</t>
  </si>
  <si>
    <t>EPL7PDNC</t>
  </si>
  <si>
    <t>Pinnacle Mini Lightbar (EPL7000) - Standard Permanent Mount w/ 12 ft cable for hardwire installation – Blue/Green LEDs</t>
  </si>
  <si>
    <t>EPL7PDPC</t>
  </si>
  <si>
    <t>Pinnacle Mini Lightbar (EPL7000) - Standard Permanent Mount w/ 12 ft cable for hardwire installation – Green/Amber LEDs</t>
  </si>
  <si>
    <t>EPL7PDRC</t>
  </si>
  <si>
    <t>Pinnacle Mini Lightbar (EPL7000) SAE Class 1 - Standard Permanent Mount w/ 12 ft cable for hardwire installation – Red LEDs</t>
  </si>
  <si>
    <t>EPL7PDWC</t>
  </si>
  <si>
    <t>Pinnacle Mini Lightbar (EPL7000) SAE Class 1 - Standard Permanent Mount w/ 12 ft cable for hardwire installation – White LEDs</t>
  </si>
  <si>
    <t>EPL7PFAA</t>
  </si>
  <si>
    <t>Pinnacle Mini Lightbar (EPL7000) - Standard Permanent Mount w/ 25 ft cable for hardwire installation – Amber Dome w/ Amber LEDs</t>
  </si>
  <si>
    <t>EPL7PFAC</t>
  </si>
  <si>
    <t>Pinnacle Mini Lightbar (EPL7000) - Standard Permanent Mount w/ 25 ft cable for hardwire installation – Amber LEDs</t>
  </si>
  <si>
    <t>EPL7PFBC</t>
  </si>
  <si>
    <t>Pinnacle Mini Lightbar (EPL7000) SAE Class 1 - Standard Permanent Mount w/ 25 ft cable for hardwire installation – Blue LEDs</t>
  </si>
  <si>
    <t>EPL7PFDC</t>
  </si>
  <si>
    <t>Pinnacle Mini Lightbar (EPL7000) SAE Class 1 - Standard Permanent Mount w/ 25 ft cable for hardwire installation – Red/White LEDs</t>
  </si>
  <si>
    <t>EPL7PFFC</t>
  </si>
  <si>
    <t>Pinnacle Mini Lightbar (EPL7000) - Standard Permanent Mount w/ 25 ft cable for hardwire installation – Amber/White LEDs</t>
  </si>
  <si>
    <t>EPL7PFJC</t>
  </si>
  <si>
    <t>Pinnacle Mini Lightbar (EPL7000) SAE Class 1 - Standard Permanent Mount w/ 25 ft cable for hardwire installation – Red/Blue LEDs</t>
  </si>
  <si>
    <t>EPL7PFPC</t>
  </si>
  <si>
    <t>Pinnacle Mini Lightbar (EPL7000) - Standard Permanent Mount w/ 25 ft cable for hardwire installation – Green/Amber LEDs</t>
  </si>
  <si>
    <t>EPL7PFRC</t>
  </si>
  <si>
    <t>Pinnacle Mini Lightbar (EPL7000) SAE Class 1 - Standard Permanent Mount w/ 25 ft cable for hardwire installation – Red LEDs</t>
  </si>
  <si>
    <t>EPL7PFWC</t>
  </si>
  <si>
    <t>Pinnacle Mini Lightbar (EPL7000) SAE Class 1 - Standard Permanent Mount w/ 25 ft cable for hardwire installation – White LEDs</t>
  </si>
  <si>
    <t>EPL730001-A</t>
  </si>
  <si>
    <t>Pinnacle Mini 7300 Lightbar, SAE J845 Class 1, CA Title 13, CISPR25 Class 3, Permanent Mount, 12 ft Cord, Clear Dome, Amber LEDs</t>
  </si>
  <si>
    <t>EPL730001-D</t>
  </si>
  <si>
    <t>Pinnacle Mini 7300 Lightbar, SAE J845 Class 1, CA Title 13, CISPR25 Class 3, Permanent Mount, 12 ft Cord, Clear Dome, Red &amp; White LEDs</t>
  </si>
  <si>
    <t>EPL730001-F</t>
  </si>
  <si>
    <t>Pinnacle Mini 7300 Lightbar, SAE J845 Class 1, CA Title 13, CISPR25 Class 3, Permanent Mount, 12 ft Cord, Clear Dome, Amber &amp; White LEDs</t>
  </si>
  <si>
    <t>EPL730001-M</t>
  </si>
  <si>
    <t>Pinnacle Mini 7300 Lightbar, SAE J845 Class 1, CA Title 13, CISPR25 Class 3, Permanent Mount, 12 ft Cord, Clear Dome, Blue &amp; Amber LEDs</t>
  </si>
  <si>
    <t>EPL730001-P</t>
  </si>
  <si>
    <t>Pinnacle Mini 7300 Lightbar, SAE J845 Class 1, CA Title 13, CISPR25 Class 3, Permanent Mount, 12 ft Cord, Clear Dome, Green &amp; Amber LEDs</t>
  </si>
  <si>
    <t>EPL730002-A</t>
  </si>
  <si>
    <t>Pinnacle Mini 7300 Lightbar, SAE J845 Class 1, CA Title 13, CISPR25 Class 3, Permanent Mount, 12 ft Cord, Amber Dome, LEDs</t>
  </si>
  <si>
    <t>EPL730003-A</t>
  </si>
  <si>
    <t>Pinnacle Mini 7300 Lightbar, SAE J845 Class 1, CA Title 13, CISPR25 Class 3, Magnetic Mount, 12 ft Cord for 12v Cigar Plug, Clear Dome, Amber LEDs</t>
  </si>
  <si>
    <t>EPL730003-D</t>
  </si>
  <si>
    <t>Pinnacle Mini 7300 Lightbar, SAE J845 Class 1, CA Title 13, CISPR25 Class 3, Magnetic Mount, 12 ft Cord for 12v Cigar Plug, Clear Dome, Red &amp; White LEDs</t>
  </si>
  <si>
    <t>EPL730003-F</t>
  </si>
  <si>
    <t>Pinnacle Mini 7300 Lightbar, SAE J845 Class 1, CA Title 13, CISPR25 Class 3, Magnetic Mount, 12 ft Cord for 12v Cigar Plug, Clear Dome, Amber &amp; White LEDs</t>
  </si>
  <si>
    <t>EPL730003-M</t>
  </si>
  <si>
    <t>Pinnacle Mini 7300 Lightbar, SAE J845 Class 1, CA Title 13, CISPR25 Class 3, Magnetic Mount, 12 ft Cord for 12v Cigar Plug, Clear Dome, Blue &amp; Amber LEDs</t>
  </si>
  <si>
    <t>EPL730003-P</t>
  </si>
  <si>
    <t>Pinnacle Mini 7300 Lightbar, SAE J845 Class 1, CA Title 13, CISPR25 Class 3, Magnetic Mount, 12 ft Cord for 12v Cigar Plug, Clear Dome, Green &amp; Amber LEDs</t>
  </si>
  <si>
    <t>EPL730004-A</t>
  </si>
  <si>
    <t>Pinnacle Mini 7300 Lightbar, SAE J845 Class 1, CA Title 13, CISPR25 Class 3, Magnetic Mount, 12 ft Cord for 12v Cigar Plug, Amber Dome, Amber LEDs</t>
  </si>
  <si>
    <t>ECVO62B2W-AFA</t>
  </si>
  <si>
    <t>6" Oval Backup Light w/ Rubber Grommet &amp;AMP Sure Seal Connector - Clear Lens/White LEDs</t>
  </si>
  <si>
    <t>ECVO62STT-AFA</t>
  </si>
  <si>
    <t>6" Oval Stop/Tail/Turn w/ Rubber Grommet &amp; AMP Sure Seal Connector - Red Lens/Red LEDs</t>
  </si>
  <si>
    <t>ECVLPBLED</t>
  </si>
  <si>
    <t>3.5" Compact LED License Plate Light w/ Shroud, Mounting Base &amp; Gasket</t>
  </si>
  <si>
    <t>E1XS2SME5AW</t>
  </si>
  <si>
    <t>Bolt 2 Surface Mount Light, ECE-R65 Category X Class 2 Certified, ECE R10 Certified, SAE J595 Class 1, CA title 13 Table 1 Class B, 10-30v, Black Housing, 18 LED, Dual Color - Amber/White</t>
  </si>
  <si>
    <t>E1XS2SME5AX</t>
  </si>
  <si>
    <t>Bolt 2 Surface Mount Light, ECE-R65 Category X Class 2 Certified, ECE R10 Certified, SAE J595 Class 1, CA title 13 Table 1 Class B,, 10-30v, Black Housing, 9 LED, Single Color - Amber</t>
  </si>
  <si>
    <t>E1XS2SME5BA</t>
  </si>
  <si>
    <t>Bolt 2 Surface Mount Light, ECE-R65 Category X Class 2 Certified, ECE R10 Certified, SAE J595 Class 1, CA title 13 Table 1 Class B, 10-30v, Black Housing, 18 LED, Dual Color - Blue/Amber</t>
  </si>
  <si>
    <t>E1XS2SME5BW</t>
  </si>
  <si>
    <t>Bolt 2 Surface Mount Light, ECE-R65 Category X Class 2 Certified, ECE R10 Certified, SAE J595 Class 1, CA title 13 Table 1 Class B, 10-30v, Black Housing, 18 LED, Dual Color - Blue/White</t>
  </si>
  <si>
    <t>E1XS2SME5BX</t>
  </si>
  <si>
    <t>Bolt 2 Surface Mount Light, ECE-R65 Category X Class 2 Certified, ECE R10 Certified, SAE J595 Class 1, CA title 13 Table 1 Class B, 10-30v, Black Housing, 9 LED, Single Color - Blue</t>
  </si>
  <si>
    <t>E1XS2SME5GA</t>
  </si>
  <si>
    <t>Bolt 2 Surface Mount Light, ECE-R65 Category X Class 2 Certified, ECE R10 Certified, SAE J595 Class 1, CA title 13 Table 1 Class B, 10-30v, Black Housing, 18 LED, Dual Color - Green/Amber</t>
  </si>
  <si>
    <t>E1XS2SME5GX</t>
  </si>
  <si>
    <t>Bolt 2 Surface Mount Light, ECE-R65 Category X Class 2 Certified, SAE J595 Class 3, 10-30v, Black Housing, 9 LED, Single Color - Green</t>
  </si>
  <si>
    <t>E1XS2SME5RA</t>
  </si>
  <si>
    <t>Bolt 2 Surface Mount Light, ECE-R65 Category X Class 2 Certified, ECE R10 Certified, SAE J595 Class 1, CA title 13 Table 1 Class B, 10-30v, Black Housing, 9 LED, Dual Color - Red/Amber</t>
  </si>
  <si>
    <t>E1XS2SME5RB</t>
  </si>
  <si>
    <t>Bolt 2 Surface Mount Light, ECE-R65 Category X Class 2 Certified, ECE R10 Certified, SAE J595 Class 1, CA title 13 Table 1 Class B, 10-30v, Black Housing, 18 LED, Dual Color - Red/Blue</t>
  </si>
  <si>
    <t>E1XS2SME5RW</t>
  </si>
  <si>
    <t>Bolt 2 Surface Mount Light, ECE-R65 Category X Class 2 Certified, ECE R10 Certified, SAE J595 Class 1, CA title 13 Table 1 Class B, 10-30v, Black Housing, 18 LED, Dual Color - Red/White</t>
  </si>
  <si>
    <t>E1XS2SME5RX</t>
  </si>
  <si>
    <t>Bolt 2 Surface Mount Light, ECE-R65 Category X Class 2 Certified, ECE R10 Certified, SAE J595 Class 1, CA title 13 Table 1 Class B, 10-30v, Black Housing, 9 LED, Single Color - Red</t>
  </si>
  <si>
    <t>E1XS2SME5WX</t>
  </si>
  <si>
    <t>Bolt 2 Surface Mount Light, ECE-R65 Category X Class 2 Certified, ECE R10 Certified, SAE J595 Class 1, CA title 13 Table 1 Class B, 10-30v, Black Housing, 9 LED, Single Color - White</t>
  </si>
  <si>
    <t>ET4CCL22EMB1</t>
  </si>
  <si>
    <t>Ford 4-Corner Kit for Super Duty F-250-550 ( 2017-2021) includes: 2 GHOST® Multi-Mount Lights Blue/White, CHMSL Bezel w/ Intersector Surface Mount Lights Blue/Amber, Harnesses, with Stand Alone Switch</t>
  </si>
  <si>
    <t>ET4CCL22FKB1</t>
  </si>
  <si>
    <t>Ford 4-Corner Kit for Super Duty F-250-550 ( 2017-2021) includes: 2 GHOST® Multi-Mount Lights Amber/White, CHMSL Bezel w/ Intersector Surface Mount Lights Red/Amber, Harnesses, with Stand Alone Switch</t>
  </si>
  <si>
    <t>ET4CCL22FPB1</t>
  </si>
  <si>
    <t>Ford 4-Corner Kit for Super Duty F-250-550 ( 2017-2021) includes: 2 GHOST® Multi-Mount Lights Amber/White, CHMSL Bezel w/ Intersector Surface Mount Lights Green/Amber, Harnesses, with Stand Alone Switch</t>
  </si>
  <si>
    <t>EGHST1E</t>
  </si>
  <si>
    <t>GHOST® Single Multi-Mount Light (Edge Mount, Permanent Mount &amp; 3M Super Duty Adhesive Mounts included), 10-30v - Black Housing/Blue &amp; White</t>
  </si>
  <si>
    <t>EGHSTTA</t>
  </si>
  <si>
    <t>GHOST® Single Stop/Tail Light, Black Housing w/ 3M Super Duty Adhesive Mount - Amber</t>
  </si>
  <si>
    <t>EGHST2D</t>
  </si>
  <si>
    <t>GHOST® Single Surface Mount Light, 10-30v - Black Housing, Split Color - Red/White LEDs</t>
  </si>
  <si>
    <t>EGHST2E</t>
  </si>
  <si>
    <t>GHOST® Single Surface Mount Light, 10-30v - Black Housing/Split Color - Blue &amp; White LEDs</t>
  </si>
  <si>
    <t>EGHST2J</t>
  </si>
  <si>
    <t>GHOST® Single Surface Mount Light, 10-30v - Black Housing, Split Color - Red/Blue LEDs</t>
  </si>
  <si>
    <t>EGHSTT2RB</t>
  </si>
  <si>
    <t>GHOST® Single Surface Mount Light, Stop/Tail Light, 10-30v - Black Housing/Solid Red</t>
  </si>
  <si>
    <t>ENT3B3A</t>
  </si>
  <si>
    <t>Intersector Surface Mount Light, 9-32 Vdc, Black Housing, 8 LEDs, Single Color - Amber</t>
  </si>
  <si>
    <t>ENT3B3B</t>
  </si>
  <si>
    <t>Intersector Surface Mount Light, 9-32 Vdc, Black Housing, 8 LEDs, Single Color - Blue</t>
  </si>
  <si>
    <t>ENT3B3BAG</t>
  </si>
  <si>
    <t>Intersector Surface Mount Light, 9-32 Vdc, Black Housing, 18 LED, Tricolor - Blue/Amber/Green</t>
  </si>
  <si>
    <t>ENT3B3BAW</t>
  </si>
  <si>
    <t>Intersector Surface Mount Light, 9-32 Vdc, Black Housing, 18 LED, Tricolor - Blue/Amber/White</t>
  </si>
  <si>
    <t>ENT3B3BGW</t>
  </si>
  <si>
    <t>Intersector Surface Mount Light, 9-32 Vdc, Black Housing, 18 LED, Tricolor - Blue/Green/White</t>
  </si>
  <si>
    <t>ENT3B3G</t>
  </si>
  <si>
    <t>Intersector Surface Mount Light, 9-32 Vdc, Black Housing, 8 LEDs, Single Color - Green</t>
  </si>
  <si>
    <t>ENT3B3GAW</t>
  </si>
  <si>
    <t>Intersector Surface Mount Light, 9-32 Vdc, Black Housing, 18 LED, Tricolor - Green/Amber/White</t>
  </si>
  <si>
    <t>ENT3B3R</t>
  </si>
  <si>
    <t>Intersector Surface Mount Light, 9-32 Vdc, Black Housing, 8 LEDs, Single Color - Red</t>
  </si>
  <si>
    <t>ENT3B3RAG</t>
  </si>
  <si>
    <t>Intersector Surface Mount Light, 9-32 Vdc, Black Housing, 18 LED, Tricolor - Red/Amber/Green</t>
  </si>
  <si>
    <t>ENT3B3RAW</t>
  </si>
  <si>
    <t>Intersector Surface Mount Light, 9-32 Vdc, Black Housing, 18 LED, Tricolor - Red/Amber/White</t>
  </si>
  <si>
    <t>ENT3B3RBA</t>
  </si>
  <si>
    <t>Intersector Surface Mount Light, 9-32 Vdc, Black Housing, 18 LED, Tricolor - Red/Blue/Amber</t>
  </si>
  <si>
    <t>ENT3B3RBG</t>
  </si>
  <si>
    <t>Intersector Surface Mount Light, 9-32 Vdc, Black Housing, 18 LED, Tricolor - Red/Blue/Green</t>
  </si>
  <si>
    <t>ENT3B3RBW</t>
  </si>
  <si>
    <t>Intersector Surface Mount Light, 9-32 Vdc, Black Housing, 18 LED, Tricolor - Red/Blue/White</t>
  </si>
  <si>
    <t>ENT3B3RGW</t>
  </si>
  <si>
    <t>Intersector Surface Mount Light, 9-32 Vdc, Black Housing, 18 LED, Tricolor - Red/Green/White</t>
  </si>
  <si>
    <t>ENT3B3W</t>
  </si>
  <si>
    <t>Intersector Surface Mount Light, 9-32 Vdc, Black Housing, 8 LEDs, Single Color - White</t>
  </si>
  <si>
    <t>ENT3C3A</t>
  </si>
  <si>
    <t>Intersector Surface Mount Light, 9-32 Vdc, Chrome Housing, 8 LEDs, Single Color - Amber</t>
  </si>
  <si>
    <t>ENT3C3B</t>
  </si>
  <si>
    <t>Intersector Surface Mount Light, 9-32 Vdc, Chrome Housing, 8 LEDs, Single Color - Blue</t>
  </si>
  <si>
    <t>ENT3C3BAG</t>
  </si>
  <si>
    <t>Intersector Surface Mount Light, 9-32 Vdc, Chrome Housing, 18 LED, Tricolor - Blue/Amber/Green</t>
  </si>
  <si>
    <t>ENT3C3BAW</t>
  </si>
  <si>
    <t>Intersector Surface Mount Light, 9-32 Vdc, Chrome Housing, 18 LED, Tricolor - Blue/Amber/White</t>
  </si>
  <si>
    <t>ENT3C3BGW</t>
  </si>
  <si>
    <t>Intersector Surface Mount Light, 9-32 Vdc, Chrome Housing, 18 LED, Tricolor - Blue/Green/White</t>
  </si>
  <si>
    <t>ENT3C3D</t>
  </si>
  <si>
    <t>Intersector Surface Mount Light, 9-32 Vdc, Chrome Housing, 16 LEDs, Dual Color - Red/White</t>
  </si>
  <si>
    <t>ENT3C3E</t>
  </si>
  <si>
    <t>Intersector Surface Mount Light, 9-32 Vdc, Chrome Housing, 16 LEDs, Dual Color - Blue/White</t>
  </si>
  <si>
    <t>ENT3C3F</t>
  </si>
  <si>
    <t>Intersector Surface Mount Light, 9-32 Vdc, Chrome Housing, 16 LEDs, Dual Color - Amber/White</t>
  </si>
  <si>
    <t>ENT3C3G</t>
  </si>
  <si>
    <t>Intersector Surface Mount Light, 9-32 Vdc, Chrome Housing, 8 LEDs, Single Color - Green</t>
  </si>
  <si>
    <t>ENT3C3GAW</t>
  </si>
  <si>
    <t>Intersector Surface Mount Light, 9-32 Vdc, Chrome Housing, 18 LED, Tricolor - Green/Amber/White</t>
  </si>
  <si>
    <t>ENT3C3H</t>
  </si>
  <si>
    <t>Intersector Surface Mount Light, 9-32 Vdc, Chrome Housing, 16 LEDs, Dual Color - Green/White</t>
  </si>
  <si>
    <t>ENT3C3J</t>
  </si>
  <si>
    <t>Intersector Surface Mount Light, 9-32 Vdc, Chrome Housing, 16 LEDs, Dual Color - Red/Blue</t>
  </si>
  <si>
    <t>ENT3C3K</t>
  </si>
  <si>
    <t>Intersector Surface Mount Light, 9-32 Vdc, Chrome Housing, 16 LEDs, Dual Color - Red/Amber</t>
  </si>
  <si>
    <t>ENT3C3L</t>
  </si>
  <si>
    <t>Intersector Surface Mount Light, 9-32 Vdc, Chrome Housing, 16 LEDs, Dual Color - Red/Green</t>
  </si>
  <si>
    <t>ENT3C3M</t>
  </si>
  <si>
    <t>Intersector Surface Mount Light, 9-32 Vdc, Chrome Housing, 16 LEDs, Dual Color - Blue/Amber</t>
  </si>
  <si>
    <t>ENT3C3N</t>
  </si>
  <si>
    <t>Intersector Surface Mount Light, 9-32 Vdc, Chrome Housing, 16 LEDs, Dual Color - Blue/Green</t>
  </si>
  <si>
    <t>ENT3C3P</t>
  </si>
  <si>
    <t>Intersector Surface Mount Light, 9-32 Vdc, Chrome Housing, 16 LEDs, Dual Color - Green/Amber</t>
  </si>
  <si>
    <t>ENT3C3R</t>
  </si>
  <si>
    <t>Intersector Surface Mount Light, 9-32 Vdc, Chrome Housing, 8 LEDs, Single Color - Red</t>
  </si>
  <si>
    <t>ENT3C3RAG</t>
  </si>
  <si>
    <t>Intersector Surface Mount Light, 9-32 Vdc, Chrome Housing, 18 LED, Tricolor - Red/Amber/Green</t>
  </si>
  <si>
    <t>ENT3C3RAW</t>
  </si>
  <si>
    <t>Intersector Surface Mount Light, 9-32 Vdc, Chrome Housing, 18 LED, Tricolor - Red/Amber/White</t>
  </si>
  <si>
    <t>ENT3C3RBA</t>
  </si>
  <si>
    <t>Intersector Surface Mount Light, 9-32 Vdc, Chrome Housing, 18 LED, Tricolor - Red/Blue/Amber</t>
  </si>
  <si>
    <t>ENT3C3RBG</t>
  </si>
  <si>
    <t>Intersector Surface Mount Light, 9-32 Vdc, Chrome Housing, 18 LED, Tricolor - Red/Blue/Green</t>
  </si>
  <si>
    <t>ENT3C3RBW</t>
  </si>
  <si>
    <t>Intersector Surface Mount Light, 9-32 Vdc, Chrome Housing, 18 LED, Tricolor - Red/Blue/White</t>
  </si>
  <si>
    <t>ENT3C3RGW</t>
  </si>
  <si>
    <t>Intersector Surface Mount Light, 9-32 Vdc, Chrome Housing, 18 LED, Tricolor - Red/Green/White</t>
  </si>
  <si>
    <t>ENT3C3W</t>
  </si>
  <si>
    <t>Intersector Surface Mount Light, 9-32 Vdc, Chrome Housing, 8 LEDs, Single Color - White</t>
  </si>
  <si>
    <t>ENT3W3A</t>
  </si>
  <si>
    <t>Intersector Surface Mount Light, 9-32 Vdc, White Housing, 8 LEDs, Single Color - Amber</t>
  </si>
  <si>
    <t>ENT3W3B</t>
  </si>
  <si>
    <t>Intersector Surface Mount Light, 9-32 Vdc, White Housing, 8 LEDs, Single Color - Blue</t>
  </si>
  <si>
    <t>ENT3W3BAG</t>
  </si>
  <si>
    <t>Intersector Surface Mount Light, 9-32 Vdc, White Housing, 18 LED, Tricolor - Blue/Amber/Green</t>
  </si>
  <si>
    <t>ENT3W3BAW</t>
  </si>
  <si>
    <t>Intersector Surface Mount Light, 9-32 Vdc, White Housing, 18 LED, Tricolor - Blue/Amber/White</t>
  </si>
  <si>
    <t>ENT3W3BGW</t>
  </si>
  <si>
    <t>Intersector Surface Mount Light, 9-32 Vdc, White Housing, 18 LED, Tricolor - Blue/Green/White</t>
  </si>
  <si>
    <t>ENT3W3D</t>
  </si>
  <si>
    <t>Intersector Surface Mount Light, 9-32 Vdc, White Housing, 16 LEDs, Dual Color - Red/White</t>
  </si>
  <si>
    <t>ENT3W3E</t>
  </si>
  <si>
    <t>Intersector Surface Mount Light, 9-32 Vdc, White Housing, 16 LEDs, Dual Color - Blue/White</t>
  </si>
  <si>
    <t>ENT3W3F</t>
  </si>
  <si>
    <t>Intersector Surface Mount Light, 9-32 Vdc, White Housing, 16 LEDs, Dual Color - Amber/White</t>
  </si>
  <si>
    <t>ENT3W3G</t>
  </si>
  <si>
    <t>Intersector Surface Mount Light, 9-32 Vdc, White Housing, 8 LEDs, Single Color - Green</t>
  </si>
  <si>
    <t>ENT3W3GAW</t>
  </si>
  <si>
    <t>Intersector Surface Mount Light, 9-32 Vdc, White Housing, 18 LED, Tricolor - Green/Amber/White</t>
  </si>
  <si>
    <t>ENT3W3H</t>
  </si>
  <si>
    <t>Intersector Surface Mount Light, 9-32 Vdc, White Housing, 16 LEDs, Dual Color - Green/White</t>
  </si>
  <si>
    <t>ENT3W3J</t>
  </si>
  <si>
    <t>Intersector Surface Mount Light, 9-32 Vdc, White Housing, 16 LEDs, Dual Color - Red/Blue</t>
  </si>
  <si>
    <t>ENT3W3K</t>
  </si>
  <si>
    <t>Intersector Surface Mount Light, 9-32 Vdc, White Housing, 16 LEDs, Dual Color - Red/Amber</t>
  </si>
  <si>
    <t>ENT3W3L</t>
  </si>
  <si>
    <t>Intersector Surface Mount Light, 9-32 Vdc, White Housing, 16 LEDs, Dual Color - Red/Green</t>
  </si>
  <si>
    <t>ENT3W3M</t>
  </si>
  <si>
    <t>Intersector Surface Mount Light, 9-32 Vdc, White Housing, 16 LEDs, Dual Color - Blue/Amber</t>
  </si>
  <si>
    <t>ENT3W3N</t>
  </si>
  <si>
    <t>Intersector Surface Mount Light, 9-32 Vdc, White Housing, 16 LEDs, Dual Color - Blue/Green</t>
  </si>
  <si>
    <t>ENT3W3P</t>
  </si>
  <si>
    <t>Intersector Surface Mount Light, 9-32 Vdc, White Housing, 16 LEDs, Dual Color - Green/Amber</t>
  </si>
  <si>
    <t>ENT3W3R</t>
  </si>
  <si>
    <t>Intersector Surface Mount Light, 9-32 Vdc, White Housing, 8 LEDs, Single Color - Red</t>
  </si>
  <si>
    <t>ENT3W3RAG</t>
  </si>
  <si>
    <t>Intersector Surface Mount Light, 9-32 Vdc, White Housing, 18 LED, Tricolor - Red/Amber/Green</t>
  </si>
  <si>
    <t>ENT3W3RAW</t>
  </si>
  <si>
    <t>Intersector Surface Mount Light, 9-32 Vdc, White Housing, 18 LED, Tricolor - Red/Amber/White</t>
  </si>
  <si>
    <t>ENT3W3RBA</t>
  </si>
  <si>
    <t>Intersector Surface Mount Light, 9-32 Vdc, White Housing, 18 LED, Tricolor - Red/Blue/Amber</t>
  </si>
  <si>
    <t>ENT3W3RBG</t>
  </si>
  <si>
    <t>Intersector Surface Mount Light, 9-32 Vdc, White Housing, 18 LED, Tricolor - Red/Blue/Green</t>
  </si>
  <si>
    <t>ENT3W3RBW</t>
  </si>
  <si>
    <t>Intersector Surface Mount Light, 9-32 Vdc, White Housing, 18 LED, Tricolor - Red/Blue/White</t>
  </si>
  <si>
    <t>ENT3W3RGW</t>
  </si>
  <si>
    <t>Intersector Surface Mount Light, 9-32 Vdc, White Housing, 18 LED, Tricolor - Red/Green/White</t>
  </si>
  <si>
    <t>ENT3W3W</t>
  </si>
  <si>
    <t>Intersector Surface Mount Light, 9-32 Vdc, White Housing, 8 LEDs, Single Color - White</t>
  </si>
  <si>
    <t>ENT2B3A</t>
  </si>
  <si>
    <t>Intersector Under Mirror Mount Light, 9-32 Vdc, w/ 4-Wedges, Mounting Gasket &amp; Hardware, 8 LEDs, Single Color - Amber</t>
  </si>
  <si>
    <t>ENT2B3B</t>
  </si>
  <si>
    <t>Intersector Under Mirror Mount Light, 9-32 Vdc, w/ 4-Wedges, Mounting Gasket &amp; Hardware, 8 LEDs, Single Color - Blue</t>
  </si>
  <si>
    <t>ENT2B3BAG</t>
  </si>
  <si>
    <t>Intersector Under Mirror Mount Light, 9-32 Vdc, w/ 4-Wedges, Mounting Gasket &amp; Hardware, 18 LED, Tricolor - Blue/Amber/Green</t>
  </si>
  <si>
    <t>ENT2B3BAW</t>
  </si>
  <si>
    <t>Intersector Under Mirror Mount Light, 9-32 Vdc, w/ 4-Wedges, Mounting Gasket &amp; Hardware, 18 LED, Tricolor - Blue/Amber/White</t>
  </si>
  <si>
    <t>ENT2B3BGW</t>
  </si>
  <si>
    <t>Intersector Under Mirror Mount Light, 9-32 Vdc, w/ 4-Wedges, Mounting Gasket &amp; Hardware, 18 LED, Tricolor - Blue/Green/White</t>
  </si>
  <si>
    <t>ENT2B3D</t>
  </si>
  <si>
    <t>Intersector Under Mirror Mount Light, 9-32 Vdc, w/ 4-Wedges, Mounting Gasket &amp; Hardware, 16 LEDs, Dual Color - Red/White</t>
  </si>
  <si>
    <t>ENT2B3E</t>
  </si>
  <si>
    <t>Intersector Under Mirror Mount Light, 9-32 Vdc, w/ 4-Wedges, Mounting Gasket &amp; Hardware, 16 LEDs, Dual Color - Blue/White</t>
  </si>
  <si>
    <t>ENT2B3F</t>
  </si>
  <si>
    <t>Intersector Under Mirror Mount Light, 9-32 Vdc, w/ 4-Wedges, Mounting Gasket &amp; Hardware, 16 LEDs, Dual Color - Amber/White</t>
  </si>
  <si>
    <t>ENT2B3G</t>
  </si>
  <si>
    <t>Intersector Under Mirror Mount Light, 9-32 Vdc, w/ 4-Wedges, Mounting Gasket &amp; Hardware, 8 LEDs, Single Color - Green</t>
  </si>
  <si>
    <t>ENT2B3GAW</t>
  </si>
  <si>
    <t>Intersector Under Mirror Mount Light, 9-32 Vdc, w/ 4-Wedges, Mounting Gasket &amp; Hardware, 18 LED, Tricolor - Green/Amber/White</t>
  </si>
  <si>
    <t>ENT2B3H</t>
  </si>
  <si>
    <t>Intersector Under Mirror Mount Light, 9-32 Vdc, w/ 4-Wedges, Mounting Gasket &amp; Hardware, 16 LEDs, Dual Color - Green/White</t>
  </si>
  <si>
    <t>ENT2B3J</t>
  </si>
  <si>
    <t>Intersector Under Mirror Mount Light, 9-32 Vdc, w/ 4-Wedges, Mounting Gasket &amp; Hardware, 16 LEDs, Dual Color - Red/Blue</t>
  </si>
  <si>
    <t>ENT2B3K</t>
  </si>
  <si>
    <t>Intersector Under Mirror Mount Light, 9-32 Vdc, w/ 4-Wedges, Mounting Gasket &amp; Hardware, 16 LEDs, Dual Color - Red/Amber</t>
  </si>
  <si>
    <t>ENT2B3L</t>
  </si>
  <si>
    <t>Intersector Under Mirror Mount Light, 9-32 Vdc, w/ 4-Wedges, Mounting Gasket &amp; Hardware, 16 LEDs, Dual Color - Red/Green</t>
  </si>
  <si>
    <t>ENT2B3M</t>
  </si>
  <si>
    <t>Intersector Under Mirror Mount Light, 9-32 Vdc, w/ 4-Wedges, Mounting Gasket &amp; Hardware, 16 LEDs, Dual Color - Blue/Amber</t>
  </si>
  <si>
    <t>ENT2B3N</t>
  </si>
  <si>
    <t>Intersector Under Mirror Mount Light, 9-32 Vdc, w/ 4-Wedges, Mounting Gasket &amp; Hardware, 16 LEDs, Dual Color - Blue/Green</t>
  </si>
  <si>
    <t>ENT2B3P</t>
  </si>
  <si>
    <t>Intersector Under Mirror Mount Light, 9-32 Vdc, w/ 4-Wedges, Mounting Gasket &amp; Hardware, 16 LEDs, Dual Color - Green/Amber</t>
  </si>
  <si>
    <t>ENT2B3R</t>
  </si>
  <si>
    <t>Intersector Under Mirror Mount Light, 9-32 Vdc, w/ 4-Wedges, Mounting Gasket &amp; Hardware, 8 LEDs, Single Color - Red</t>
  </si>
  <si>
    <t>ENT2B3RAG</t>
  </si>
  <si>
    <t>Intersector Under Mirror Mount Light, 9-32 Vdc, w/ 4-Wedges, Mounting Gasket &amp; Hardware, 18 LED, Tricolor - Red/Amber/Green</t>
  </si>
  <si>
    <t>ENT2B3RAW</t>
  </si>
  <si>
    <t>Intersector Under Mirror Mount Light, 9-32 Vdc, w/ 4-Wedges, Mounting Gasket &amp; Hardware, 18 LED, Tricolor - Red/Amber/White</t>
  </si>
  <si>
    <t>ENT2B3RBA</t>
  </si>
  <si>
    <t>Intersector Under Mirror Mount Light, 9-32 Vdc, w/ 4-Wedges, Mounting Gasket &amp; Hardware, 18 LED, Tricolor - Red/Blue/Amber</t>
  </si>
  <si>
    <t>ENT2B3RBG</t>
  </si>
  <si>
    <t>Intersector Under Mirror Mount Light, 9-32 Vdc, w/ 4-Wedges, Mounting Gasket &amp; Hardware, 18 LED, Tricolor - Red/Blue/Green</t>
  </si>
  <si>
    <t>ENT2B3RBW</t>
  </si>
  <si>
    <t>Intersector Under Mirror Mount Light, 9-32 Vdc, w/ 4-Wedges, Mounting Gasket &amp; Hardware, 18 LED, Tricolor - Red/Blue/White</t>
  </si>
  <si>
    <t>ENT2B3RGW</t>
  </si>
  <si>
    <t>Intersector Under Mirror Mount Light, 9-32 Vdc, w/ 4-Wedges, Mounting Gasket &amp; Hardware, 18 LED, Tricolor - Red/Green/White</t>
  </si>
  <si>
    <t>ENT2B3W</t>
  </si>
  <si>
    <t>Intersector Under Mirror Mount Light, 9-32 Vdc, w/ 4-Wedges, Mounting Gasket &amp; Hardware, 8 LEDs, Single Color - White</t>
  </si>
  <si>
    <t>EL3PSNA</t>
  </si>
  <si>
    <t>LED3 Plus Mini Surface Mount Light, ECE R10.05 Certified, 10-16v includes Mounting Gasket &amp; Hardware - Solid Color in Amber</t>
  </si>
  <si>
    <t>EL3PSNB</t>
  </si>
  <si>
    <t>LED3 Plus Mini Surface Mount Light, ECE R10.05 Certified,10-16v includes Mounting Gasket &amp; Hardware - Solid Color in Blue</t>
  </si>
  <si>
    <t>EL3PSNG</t>
  </si>
  <si>
    <t>LED3 Plus Mini Surface Mount Light, ECE R10.05 Certified,10-16v includes Mounting Gasket &amp; Hardware - Solid Color in Green</t>
  </si>
  <si>
    <t>EL3PSNR</t>
  </si>
  <si>
    <t>LED3 Plus Mini Surface Mount Light, ECE R10.05 Certified,10-16v includes Mounting Gasket &amp; Hardware - Solid Color in Red</t>
  </si>
  <si>
    <t>EL3PSNW</t>
  </si>
  <si>
    <t>LED3 Plus Mini Surface Mount Light, ECE R10.05 Certified,10-16v includes Mounting Gasket &amp; Hardware - Solid Color in White</t>
  </si>
  <si>
    <t>EMPSB0C8Y-D</t>
  </si>
  <si>
    <t>mpower® 6x4 Warning Light w/ Quick Mount, SAE J595 Class 1, CA Title 13 certified, NFPA, KKK-1822-F, 9-32 Vdc, 1.5' Pigtail, Clear Housing/Lens, 24 LEDs, Dual Color, Red/White</t>
  </si>
  <si>
    <t>EMPSB0C8Y-E</t>
  </si>
  <si>
    <t>mpower® 6x4 Warning Light w/ Quick Mount, SAE J595 Class 1, CA Title 13 certified, NFPA, KKK-1822-F, 9-32 Vdc, 1.5' Pigtail, Clear Housing/Lens, 24 LEDs, Dual Color, Blue/White</t>
  </si>
  <si>
    <t>EMPSB0C8Y-F</t>
  </si>
  <si>
    <t>mpower® 6x4 Warning Light w/ Quick Mount, SAE J595 Class 1, CA Title 13 certified, NFPA, KKK-1822-F, 9-32 Vdc, 1.5' Pigtail, Clear Housing/Lens, 24 LEDs, Dual Color, Amber/White</t>
  </si>
  <si>
    <t>EMPSB0C8Y-J</t>
  </si>
  <si>
    <t>mpower® 6x4 Warning Light w/ Quick Mount, SAE J595 Class 1, CA Title 13 certified, NFPA, KKK-1822-F, 9-32 Vdc, 1.5' Pigtail, Clear Housing/Lens, 24 LEDs, Dual Color, Red/Blue</t>
  </si>
  <si>
    <t>EMPSB0C8Z-D</t>
  </si>
  <si>
    <t>mpower® 6x4 Warning Light w/ Quick Mount, SAE J595 Class 1, CA Title 13 certified, NFPA, KKK-1822-F, 9-32 Vdc, 1.5' Pigtail, Clear Housing/Lens, 24 LEDs, Split Color, Red/White</t>
  </si>
  <si>
    <t>EMPSB0C8Z-E</t>
  </si>
  <si>
    <t>mpower® 6x4 Warning Light w/ Quick Mount, SAE J595 Class 1, CA Title 13 certified, NFPA, KKK-1822-F, 9-32 Vdc, 1.5' Pigtail, Clear Housing/Lens, 24 LEDs, Split Color, Blue/White</t>
  </si>
  <si>
    <t>EMPSB0C8Z-F</t>
  </si>
  <si>
    <t>mpower® 6x4 Warning Light w/ Quick Mount, SAE J595 Class 1, CA Title 13 certified, NFPA, KKK-1822-F, 9-32 Vdc, 1.5' Pigtail, Clear Housing/Lens, 24 LEDs, Split Color, Amber/White</t>
  </si>
  <si>
    <t>EMPSB0C8Z-J</t>
  </si>
  <si>
    <t>mpower® 6x4 Warning Light w/ Quick Mount, SAE J595 Class 1, CA Title 13 certified, NFPA, KKK-1822-F, 9-32 Vdc, 1.5' Pigtail, Clear Housing/Lens, 24 LEDs, Split Color, Red/Blue</t>
  </si>
  <si>
    <t>EMPSB0C8Z-K</t>
  </si>
  <si>
    <t>mpower® 6x4 Warning Light w/ Quick Mount, SAE J595 Class 1, CA Title 13 certified, NFPA, KKK-1822-F, 9-32 Vdc, 1.5' Pigtail, Clear Housing/Lens, 24 LEDs, Split Color, Red/Amber</t>
  </si>
  <si>
    <t>EMPSB0C8Z-M</t>
  </si>
  <si>
    <t>mpower® 6x4 Warning Light w/ Quick Mount, SAE J595 Class 1, CA Title 13 certified, NFPA, KKK-1822-F, 9-32 Vdc, 1.5' Pigtail, Clear Housing/Lens, 24 LEDs, Split Color, Blue/Amber</t>
  </si>
  <si>
    <t>EMPSB0C90-6</t>
  </si>
  <si>
    <t>mpower® 6x4 Warning Light w/ Quick Mount, SAE J595 Class 1, CA Title 13 certified, NFPA, KKK-1822-F, 9-32 Vdc, 1.5' Pigtail, Clear Housing/Lens, 36 LEDs, Tricolor Color, Red/Blue/Amber</t>
  </si>
  <si>
    <t>EMPSB0C90-8</t>
  </si>
  <si>
    <t>mpower® 6x4 Warning Light w/ Quick Mount, SAE J595 Class 1, CA Title 13 certified, NFPA, KKK-1822-F, 9-32 Vdc, 1.5' Pigtail, Clear Housing/Lens, 36 LEDs, Tricolor Color, Red/Blue/White</t>
  </si>
  <si>
    <t>EMPSB0C91-A</t>
  </si>
  <si>
    <t>mpower® 6x4 Warning Light w/ Quick Mount, SAE J595 Class 1, CA Title 13 certified, NFPA, KKK-1822-F, 9-32 Vdc, 1.5' Pigtail, Clear Housing/Lens, 12 LED, Single Color - Amber</t>
  </si>
  <si>
    <t>EMPSB0C91-B</t>
  </si>
  <si>
    <t>mpower® 6x4 Warning Light w/ Quick Mount, SAE J595 Class 1, CA Title 13 certified, NFPA, KKK-1822-F, 9-32 Vdc, 1.5' Pigtail, Clear Housing/Lens, 12 LED, Single Color - Blue</t>
  </si>
  <si>
    <t>EMPSB0C91-R</t>
  </si>
  <si>
    <t>mpower® 6x4 Warning Light w/ Quick Mount, SAE J595 Class 1, CA Title 13 certified, NFPA, KKK-1822-F, 9-32 Vdc, 1.5' Pigtail, Clear Housing/Lens, 12 LED, Single Color - Red</t>
  </si>
  <si>
    <t>EMPSB0C91-W</t>
  </si>
  <si>
    <t>mpower® 6x4 Warning Light w/ Quick Mount, SAE J595 Class 1, CA Title 13 certified, NFPA, KKK-1822-F, 9-32 Vdc, 1.5' Pigtail, Clear Housing/Lens, 12 LED, Single Color - White</t>
  </si>
  <si>
    <t>EMPSB0C92-W</t>
  </si>
  <si>
    <t>mpower® 6x4 Backup Light, Quick Mount, SAE J595 Class 1, CA Title 13 certified, NFPA, KKK-1822-F, FMVSS-108, 9-32 Vdc, 1.5' Pigtail, Clear Housing/Lens, 18 LED - White</t>
  </si>
  <si>
    <t>EMPSB0C93-D</t>
  </si>
  <si>
    <t>mpower® 6x4 Backup Light with Warning, Quick Mount, SAE J595 Class 1, CA Title 13 certified, NFPA, KKK-1822-F, FMVSS-108, 9-32 Vdc, 1.5' Pigtail, Clear Housing/Lens, 28 LED - Red/White</t>
  </si>
  <si>
    <t>EMPSB0C93-E</t>
  </si>
  <si>
    <t>mpower® 6x4 Backup Light with Warning, Quick Mount, SAE J595 Class 1, CA Title 13 certified, NFPA, KKK-1822-F, FMVSS-108, 9-32 Vdc, 1.5' Pigtail, Clear Housing/Lens, 28 LED - Blue/White</t>
  </si>
  <si>
    <t>EMPSB0C93-F</t>
  </si>
  <si>
    <t>mpower® 6x4 Backup Light with Warning, Quick Mount, SAE J595 Class 1, CA Title 13 certified, NFPA, KKK-1822-F, FMVSS-108, 9-32 Vdc, 1.5' Pigtail, Clear Housing/Lens, 28 LED - Amber/White</t>
  </si>
  <si>
    <t>EMPSB0C94-R</t>
  </si>
  <si>
    <t>mpower® 6x4 Stop/Tail &amp; Turn Light, Quick Mount, SAE J595 Class 1, CA Title 13 certified, NFPA, KKK-1822-F, FMVSS-108, 9-32 Vdc, 1.5' Pigtail, Clear Housing/Lens, 20 LED - Red</t>
  </si>
  <si>
    <t>EMPSB0C95-A</t>
  </si>
  <si>
    <t>mpower® 6x4 Turn Light, Quick Mount, SAE J595 Class 1, CA Title 13 certified, NFPA, KKK-1822-F, FMVSS-108, 9-32 Vdc, 1.5' Pigtail, Clear Housing/Lens, 20 LED - Amber</t>
  </si>
  <si>
    <t>EMPSB0AWT-D</t>
  </si>
  <si>
    <t>mpower® 6x4 Backup Light with Warning, Screw Mount, SAE J595 Class 1, CA Title 13 certified, NFPA, KKK-1822-F, FMVSS-108, 9-32 Vdc, 1.5' Pigtail, Clear Housing/Lens, 28 LED - Red/White</t>
  </si>
  <si>
    <t>EMPSB0AWT-E</t>
  </si>
  <si>
    <t>mpower® 6x4 Backup Light with Warning, Screw Mount, SAE J595 Class 1, CA Title 13 certified, NFPA, KKK-1822-F, FMVSS-108, 9-32 Vdc, 1.5' Pigtail, Clear Housing/Lens, 28 LED - Blue/White</t>
  </si>
  <si>
    <t>EMPSB0AWT-F</t>
  </si>
  <si>
    <t>mpower® 6X4 Backup Light w/Warning, Screw Mount, SAE J595 Class 1, CA Title 13 certified, NFPA, KKK-1822-F, FMVSS-108, 9-32 Vdc, 1.5' Pigtail, Clear Housing/Lens, 28 LED - Amber/White</t>
  </si>
  <si>
    <t>EMPSB0C96-A</t>
  </si>
  <si>
    <t>mpower® 6x4 Warning Light w/ Screw Mount, SAE J595 Class 1, CA Title 13 certified, NFPA, KKK-1822-F, 9-32 Vdc, 1.5' Pigtail, Clear Housing/Lens, 12 LED, Single Color - Amber</t>
  </si>
  <si>
    <t>EMPSB0C96-B</t>
  </si>
  <si>
    <t>mpower® 6x4 Warning Light w/ Screw Mount, SAE J595 Class 1, CA Title 13 certified, NFPA, KKK-1822-F, 9-32 Vdc, 1.5' Pigtail, Clear Housing/Lens, 12 LED, Single Color - Blue</t>
  </si>
  <si>
    <t>EMPSB0C96-R</t>
  </si>
  <si>
    <t>mpower® 6x4 Warning Light w/ Screw Mount, SAE J595 Class 1, CA Title 13 certified, NFPA, KKK-1822-F, 9-32 Vdc, 1.5' Pigtail, Clear Housing/Lens, 12 LED, Single Color - Red</t>
  </si>
  <si>
    <t>EMPSB0C96-W</t>
  </si>
  <si>
    <t>mpower® 6x4 Warning Light w/ Screw Mount, SAE J595 Class 1, CA Title 13 certified, NFPA, KKK-1822-F, 9-32 Vdc, 1.5' Pigtail, Clear Housing/Lens, 12 LED, Single Color - White</t>
  </si>
  <si>
    <t>EMPSB0C98-D</t>
  </si>
  <si>
    <t>mpower® 6x4 Warning Light w/ Screw Mount, SAE J595 Class 1, CA Title 13 certified, NFPA, KKK-1822-F, 9-32 Vdc, 1.5' Pigtail, Clear Housing/Lens, 24 LEDs, Split Color, Red/White</t>
  </si>
  <si>
    <t>EMPSB0C98-E</t>
  </si>
  <si>
    <t>mpower® 6x4 Warning Light w/ Screw Mount, SAE J595 Class 1, CA Title 13 certified, NFPA, KKK-1822-F, 9-32 Vdc, 1.5' Pigtail, Clear Housing/Lens, 24 LEDs, Split Color, Blue/White</t>
  </si>
  <si>
    <t>EMPSB0C98-F</t>
  </si>
  <si>
    <t>mpower® 6x4 Warning Light w/ Screw Mount, SAE J595 Class 1, CA Title 13 certified, NFPA, KKK-1822-F, 9-32 Vdc, 1.5' Pigtail, Clear Housing/Lens, 24 LEDs, Split Color, Amber/White</t>
  </si>
  <si>
    <t>EMPSB0C98-J</t>
  </si>
  <si>
    <t>mpower® 6x4 Warning Light w/ Screw Mount, SAE J595 Class 1, CA Title 13 certified, NFPA, KKK-1822-F, 9-32 Vdc, 1.5' Pigtail, Clear Housing/Lens, 24 LEDs, Split Color, Red/Blue</t>
  </si>
  <si>
    <t>EMPSB0C98-K</t>
  </si>
  <si>
    <t>mpower® 6x4 Warning Light w/ Screw Mount, SAE J595 Class 1, CA Title 13 certified, NFPA, KKK-1822-F, 9-32 Vdc, 1.5' Pigtail, Clear Housing/Lens, 24 LEDs, Split Color, Red/Amber</t>
  </si>
  <si>
    <t>EMPSB0C98-M</t>
  </si>
  <si>
    <t>mpower® 6x4 Warning Light w/ Screw Mount, SAE J595 Class 1, CA Title 13 certified, NFPA, KKK-1822-F, 9-32 Vdc, 1.5' Pigtail, Clear Housing/Lens, 24 LEDs, Split Color, Blue/Amber</t>
  </si>
  <si>
    <t>EMPSB0C99-6</t>
  </si>
  <si>
    <t>mpower® 6x4 Warning Light w/ Screw Mount, SAE J595 Class 1, CA Title 13 certified, NFPA, KKK-1822-F, 9-32 Vdc, 1.5' Pigtail, Clear Housing/Lens, 36 LEDs, Tricolor Color, Red/Blue/Amber</t>
  </si>
  <si>
    <t>EMPSB0C99-8</t>
  </si>
  <si>
    <t>mpower® 6x4 Warning Light w/ Screw Mount, SAE J595 Class 1, CA Title 13 certified, NFPA, KKK-1822-F, 9-32 Vdc, 1.5' Pigtail, Clear Housing/Lens, 36 LEDs, Tricolor Color, Red/Blue/White</t>
  </si>
  <si>
    <t>EMPSB0C9B-R</t>
  </si>
  <si>
    <t>mpower® 6x4 Stop/Tail &amp; Turn Light, Screw Mount, SAE J595 Class 1, CA Title 13 certified, NFPA, KKK-1822-F, FMVSS-108, 9-32 Vdc, 1.5' Pigtail, Clear Housing/Lens, 20 LED - Red</t>
  </si>
  <si>
    <t>EMPSB0C9C-A</t>
  </si>
  <si>
    <t>mpower® 6x4 Turn Light, Screw Mount, SAE J595 Class 1, CA Title 13 certified, NFPA, KKK-1822-F, FMVSS-108, 9-32 Vdc, 1.5' Pigtail, Clear Housing/Lens, 20 LED - Amber</t>
  </si>
  <si>
    <t>EMPSB0C6Y-R</t>
  </si>
  <si>
    <t>mpower® 6x4 Stop/Tail &amp; Turn Light, Stud Mount, SAE J595 Class 1, CA Title 13 certified, NFPA, KKK-1822-F, FMVSS-108, 9-32 Vdc, 1.5' Pigtail, Clear Housing/Lens, 20 LED - Red</t>
  </si>
  <si>
    <t>EMPSB0C9D-A</t>
  </si>
  <si>
    <t>mpower® 6x4 Warning Light w/ Stud Mount, SAE J595 Class 1, CA Title 13 certified, NFPA, KKK-1822-F, 9-32 Vdc, 1.5' Pigtail, Clear Housing/Lens, 12 LED, Single Color - Amber</t>
  </si>
  <si>
    <t>EMPSB0C9D-B</t>
  </si>
  <si>
    <t>mpower® 6x4 Warning Light w/ Stud Mount, SAE J595 Class 1, CA Title 13 certified, NFPA, KKK-1822-F, 9-32 Vdc, 1.5' Pigtail, Clear Housing/Lens, 12 LED, Single Color - Blue</t>
  </si>
  <si>
    <t>EMPSB0C9D-R</t>
  </si>
  <si>
    <t>mpower® 6x4 Warning Light w/ Stud Mount, SAE J595 Class 1, CA Title 13 certified, NFPA, KKK-1822-F, 9-32 Vdc, 1.5' Pigtail, Clear Housing/Lens, 12 LED, Single Color - Red</t>
  </si>
  <si>
    <t>EMPSB0C9D-W</t>
  </si>
  <si>
    <t>mpower® 6x4 Warning Light w/ Stud Mount, SAE J595 Class 1, CA Title 13 certified, NFPA, KKK-1822-F, 9-32 Vdc, 1.5' Pigtail, Clear Housing/Lens, 12 LED, Single Color - White</t>
  </si>
  <si>
    <t>EMPSB0C9E-D</t>
  </si>
  <si>
    <t>mpower® 6x4 Warning Light w/ Stud Mount, SAE J595 Class 1, CA Title 13 certified, NFPA, KKK-1822-F, 9-32 Vdc, 1.5' Pigtail, Clear Housing/Lens, 24 LEDs, Dual Color, Red/White</t>
  </si>
  <si>
    <t>EMPSB0C9E-E</t>
  </si>
  <si>
    <t>mpower® 6x4 Warning Light w/ Stud Mount, SAE J595 Class 1, CA Title 13 certified, NFPA, KKK-1822-F, 9-32 Vdc, 1.5' Pigtail, Clear Housing/Lens, 24 LEDs, Dual Color, Blue/White</t>
  </si>
  <si>
    <t>EMPSB0C9E-F</t>
  </si>
  <si>
    <t>mpower® 6x4 Warning Light w/ Stud Mount, SAE J595 Class 1, CA Title 13 certified, NFPA, KKK-1822-F, 9-32 Vdc, 1.5' Pigtail, Clear Housing/Lens, 24 LEDs, Dual Color, Amber/White</t>
  </si>
  <si>
    <t>EMPSB0C9E-J</t>
  </si>
  <si>
    <t>mpower® 6x4 Warning Light w/ Stud Mount, SAE J595 Class 1, CA Title 13 certified, NFPA, KKK-1822-F, 9-32 Vdc, 1.5' Pigtail, Clear Housing/Lens, 24 LEDs, Dual Color, Red/Blue</t>
  </si>
  <si>
    <t>EMPSB0C9F-D</t>
  </si>
  <si>
    <t>mpower® 6x4 Warning Light w/ Stud Mount, SAE J595 Class 1, CA Title 13 certified, NFPA, KKK-1822-F, 9-32 Vdc, 1.5' Pigtail, Clear Housing/Lens, 24 LEDs, Split Color, Red/White</t>
  </si>
  <si>
    <t>EMPSB0C9F-E</t>
  </si>
  <si>
    <t>mpower® 6x4 Warning Light w/ Stud Mount, SAE J595 Class 1, CA Title 13 certified, NFPA, KKK-1822-F, 9-32 Vdc, 1.5' Pigtail, Clear Housing/Lens, 24 LEDs, Split Color, Blue/White</t>
  </si>
  <si>
    <t>EMPSB0C9F-F</t>
  </si>
  <si>
    <t>mpower® 6x4 Warning Light w/ Stud Mount, SAE J595 Class 1, CA Title 13 certified, NFPA, KKK-1822-F, 9-32 Vdc, 1.5' Pigtail, Clear Housing/Lens, 24 LEDs, Split Color, Amber/White</t>
  </si>
  <si>
    <t>EMPSB0C9F-J</t>
  </si>
  <si>
    <t>mpower® 6x4 Warning Light w/ Stud Mount, SAE J595 Class 1, CA Title 13 certified, NFPA, KKK-1822-F, 9-32 Vdc, 1.5' Pigtail, Clear Housing/Lens, 24 LEDs, Split Color, Red/Blue</t>
  </si>
  <si>
    <t>EMPSB0C9F-K</t>
  </si>
  <si>
    <t>mpower® 6x4 Warning Light w/ Stud Mount, SAE J595 Class 1, CA Title 13 certified, NFPA, KKK-1822-F, 9-32 Vdc, 1.5' Pigtail, Clear Housing/Lens, 24 LEDs, Split Color, Red/Amber</t>
  </si>
  <si>
    <t>EMPSB0C9F-M</t>
  </si>
  <si>
    <t>mpower® 6x4 Warning Light w/ Stud Mount, SAE J595 Class 1, CA Title 13 certified, NFPA, KKK-1822-F, 9-32 Vdc, 1.5' Pigtail, Clear Housing/Lens, 24 LEDs, Split Color, Blue/Amber</t>
  </si>
  <si>
    <t>EMPSB0C9G-6</t>
  </si>
  <si>
    <t>mpower® 6x4 Warning Light w/ Stud Mount, SAE J595 Class 1, CA Title 13 certified, NFPA, KKK-1822-F, 9-32 Vdc, 1.5' Pigtail, Clear Housing/Lens, 36 LEDs, Tricolor Color, Red/Blue/Amber</t>
  </si>
  <si>
    <t>EMPSB0C9G-8</t>
  </si>
  <si>
    <t>mpower® 6x4 Warning Light w/ Stud Mount, SAE J595 Class 1, CA Title 13 certified, NFPA, KKK-1822-F, 9-32 Vdc, 1.5' Pigtail, Clear Housing/Lens, 36 LEDs, Tricolor Color, Red/Blue/White</t>
  </si>
  <si>
    <t>EMPSB0C9H-W</t>
  </si>
  <si>
    <t>mpower® 6x4 Backup Light, Stud Mount, SAE J595 Class 1, CA Title 13 certified, NFPA, KKK-1822-F, FMVSS-108, 9-32 Vdc, 1.5' Pigtail, Clear Housing/Lens, 18 LED - White</t>
  </si>
  <si>
    <t>EMPSB0C9J-D</t>
  </si>
  <si>
    <t>mpower® 6x4 Backup Light with warning, Stud Mount, SAE J595 Class 1, CA Title 13 certified, NFPA, KKK-1822-F, FMVSS-108, 9-32 Vdc, 1.5' Pigtail, Clear Housing/Lens, 28 LED - Red/White</t>
  </si>
  <si>
    <t>EMPSB0C9J-E</t>
  </si>
  <si>
    <t>mpower® 6x4 Backup Light with warning, Stud Mount, SAE J595 Class 1, CA Title 13 certified, NFPA, KKK-1822-F, FMVSS-108, 9-32 Vdc, 1.5' Pigtail, Clear Housing/Lens, 28 LED - Blue/White</t>
  </si>
  <si>
    <t>EMPSB0C9J-F</t>
  </si>
  <si>
    <t>mpower® 6x4 Backup Light with warning, Stud Mount, SAE J595 Class 1, CA Title 13 certified, NFPA, KKK-1822-F, FMVSS-108, 9-32 Vdc, 1.5' Pigtail, Clear Housing/Lens, 28 LED - Amber/White</t>
  </si>
  <si>
    <t>EMPSB0C9K-A</t>
  </si>
  <si>
    <t>mpower® 6x4 Turn Light, Stud Mount, SAE J595 Class 1, CA Title 13 certified, NFPA, KKK-1822-F, FMVSS-108, 9-32 Vdc, 1.5' Pigtail, Clear Housing/Lens, 20 LED - Amber</t>
  </si>
  <si>
    <t>EMPSC07M0-A</t>
  </si>
  <si>
    <t>mpower® 7x3 Warning Light, Quick Mount, SAE J595 Class 1, CA Title 13 certified, NFPA, KKK-1822-F, 9-32 Vdc, 1.5' Pigtail, Clear Housing/Lens, 12 LED, Single Color - Amber</t>
  </si>
  <si>
    <t>EMPSC07M0-B</t>
  </si>
  <si>
    <t>mpower® 7x3 Warning Light, Quick Mount, SAE J595 Class 1, CA Title 13 certified, NFPA, KKK-1822-F, 9-32 Vdc, 1.5' Pigtail, Clear Housing/Lens, 12 LED, Single Color - Blue</t>
  </si>
  <si>
    <t>EMPSC07M0-R</t>
  </si>
  <si>
    <t>mpower® 7x3 Warning Light, Quick Mount, SAE J595 Class 1, CA Title 13 certified, NFPA, KKK-1822-F, 9-32 Vdc, 1.5' Pigtail, Clear Housing/Lens, 12 LED, Single Color - Red</t>
  </si>
  <si>
    <t>EMPSC07M0-W</t>
  </si>
  <si>
    <t>mpower® 7x3 Warning Light, Quick Mount, SAE J595 Class 1, CA Title 13 certified, NFPA, KKK-1822-F, 9-32 Vdc, 1.5' Pigtail, Clear Housing/Lens, 12 LED, Single Color - White</t>
  </si>
  <si>
    <t>EMPSC07M1-D</t>
  </si>
  <si>
    <t>mpower® 7x3 Warning Light, Quick Mount, SAE J595 Class 1, CA Title 13 certified, NFPA, KKK-1822-F, 9-32 Vdc, 1.5' Pigtail, Clear Housing/Lens, 24 LED, Dual Color - Red/White</t>
  </si>
  <si>
    <t>EMPSC07M1-E</t>
  </si>
  <si>
    <t>mpower® 7x3 Warning Light, Quick Mount, SAE J595 Class 1, CA Title 13 certified, NFPA, KKK-1822-F, 9-32 Vdc, 1.5' Pigtail, Clear Housing/Lens, 24 LED, Dual Color - Blue/White</t>
  </si>
  <si>
    <t>EMPSC07M1-F</t>
  </si>
  <si>
    <t>mpower® 7x3 Warning Light, Quick Mount, SAE J595 Class 1, CA Title 13 certified, NFPA, KKK-1822-F, 9-32 Vdc, 1.5' Pigtail, Clear Housing/Lens, 24 LED, Dual Color - Amber/White</t>
  </si>
  <si>
    <t>EMPSC07M1-J</t>
  </si>
  <si>
    <t>mpower® 7x3 Warning Light, Quick Mount, SAE J595 Class 1, CA Title 13 certified, NFPA, KKK-1822-F, 9-32 Vdc, 1.5' Pigtail, Clear Housing/Lens, 24 LED, Dual Color - Red/Blue</t>
  </si>
  <si>
    <t>EMPSC07M2-D</t>
  </si>
  <si>
    <t>mpower® 7x3 Warning Light, Quick Mount, SAE J595 Class 1, CA Title 13 certified, NFPA, KKK-1822-F, 9-32 Vdc, 1.5' Pigtail, Clear Housing/Lens, 24 LED, Split Color - Red/White</t>
  </si>
  <si>
    <t>EMPSC07M2-E</t>
  </si>
  <si>
    <t>mpower® 7x3 Warning Light, Quick Mount, SAE J595 Class 1, CA Title 13 certified, NFPA, KKK-1822-F, 9-32 Vdc, 1.5' Pigtail, Clear Housing/Lens, 24 LED, Split Color - Blue/White</t>
  </si>
  <si>
    <t>EMPSC07M2-F</t>
  </si>
  <si>
    <t>mpower® 7x3 Warning Light, Quick Mount, SAE J595 Class 1, CA Title 13 certified, NFPA, KKK-1822-F, 9-32 Vdc, 1.5' Pigtail, Clear Housing/Lens, 24 LED, Split Color - Amber/White</t>
  </si>
  <si>
    <t>EMPSC07M2-J</t>
  </si>
  <si>
    <t>mpower® 7x3 Warning Light, Quick Mount, SAE J595 Class 1, CA Title 13 certified, NFPA, KKK-1822-F, 9-32 Vdc, 1.5' Pigtail, Clear Housing/Lens, 24 LED, Split Color - Red/Blue</t>
  </si>
  <si>
    <t>EMPSC07M2-K</t>
  </si>
  <si>
    <t>mpower® 7x3 Warning Light, Quick Mount, SAE J595 Class 1, CA Title 13 certified, NFPA, KKK-1822-F, 9-32 Vdc, 1.5' Pigtail, Clear Housing/Lens, 24 LED, Split Color - Red/Amber</t>
  </si>
  <si>
    <t>EMPSC07M2-M</t>
  </si>
  <si>
    <t>mpower® 7x3 Warning Light, Quick Mount, SAE J595 Class 1, CA Title 13 certified, NFPA, KKK-1822-F, 9-32 Vdc, 1.5' Pigtail, Clear Housing/Lens, 24 LED, Split Color - Blue/Amber</t>
  </si>
  <si>
    <t>EMPSC07M3-6</t>
  </si>
  <si>
    <t>mpower® 7x3 Warning Light, Quick Mount, SAE J595 Class 1, CA Title 13 certified, NFPA, KKK-1822-F, 9-32 Vdc, 1.5' Pigtail, Clear Housing/Lens, 36 LED, Tricolor - Red/Blue/Amber</t>
  </si>
  <si>
    <t>EMPSC07M3-8</t>
  </si>
  <si>
    <t>mpower® 7x3 Warning Light, Quick Mount, SAE J595 Class 1, CA Title 13 certified, NFPA, KKK-1822-F, 9-32 Vdc, 1.5' Pigtail, Clear Housing/Lens, 36 LED, Tricolor - Red/Blue/White</t>
  </si>
  <si>
    <t>EMPSC07M4-W</t>
  </si>
  <si>
    <t>mpower® 7x3 Backup Light, Quick Mount, SAE J595 Class 1, CA Title 13 certified, NFPA, KKK-1822-F, FMVSS-108, 9-32 Vdc, 1.5' Pigtail, Clear Housing/Lens, 18 LED - White</t>
  </si>
  <si>
    <t>EMPSC07M5-D</t>
  </si>
  <si>
    <t>mpower® 7x3 Backup Light w/Warning, Quick Mount, SAE J595 Class 1, CA Title 13 certified, NFPA, KKK-1822-F, FMVSS-108, 9-32 Vdc, 1.5' Pigtail, Clear Housing/Lens, 28 LED - Red/White</t>
  </si>
  <si>
    <t>EMPSC07M5-E</t>
  </si>
  <si>
    <t>mpower® 7x3 Backup Light w/Warning, Quick Mount, SAE J595 Class 1, CA Title 13 certified, NFPA, KKK-1822-F, FMVSS-108, 9-32 Vdc, 1.5' Pigtail, Clear Housing/Lens, 28 LED - Blue/White</t>
  </si>
  <si>
    <t>EMPSC07M5-F</t>
  </si>
  <si>
    <t>mpower® 7x3 Backup Light w/Warning, Quick Mount, SAE J595 Class 1, CA Title 13 certified, NFPA, KKK-1822-F, FMVSS-108, 9-32 Vdc, 1.5' Pigtail, Clear Housing/Lens, 28 LED - Amber/White</t>
  </si>
  <si>
    <t>EMPSC07M6-R</t>
  </si>
  <si>
    <t>mpower® 7x3 Stop/Tail &amp; Turn Light, Quick Mount, SAE J595 Class 1, CA Title 13 certified, NFPA, KKK-1822-F, FMVSS-108, 9-32 Vdc, 1.5' Pigtail, Clear Housing/Lens, 18 LED - Red</t>
  </si>
  <si>
    <t>EMPSC07M7-A</t>
  </si>
  <si>
    <t>mpower® 7x3 Turn Light, Quick Mount, SAE J595 Class 1, CA Title 13 certified, NFPA, KKK-1822-F, FMVSS-108, 9-32 Vdc, 1.5' Pigtail, Clear Housing/Lens, 18 LED - Amber</t>
  </si>
  <si>
    <t>EMPSC07M8-A</t>
  </si>
  <si>
    <t>mpower® 7x3 Warning Light, Screw Mount, SAE J595 Class 1, CA Title 13 certified, NFPA, KKK-1822-F, 9-32 Vdc, 1.5' Pigtail, Clear Housing/Lens, 12 LED, Single Color - Amber</t>
  </si>
  <si>
    <t>EMPSC07M8-B</t>
  </si>
  <si>
    <t>mpower® 7x3 Warning Light, Screw Mount, SAE J595 Class 1, CA Title 13 certified, NFPA, KKK-1822-F, 9-32 Vdc, 1.5' Pigtail, Clear Housing/Lens, 12 LED, Single Color - Blue</t>
  </si>
  <si>
    <t>EMPSC07M8-R</t>
  </si>
  <si>
    <t>mpower® 7x3 Warning Light, Screw Mount, SAE J595 Class 1, CA Title 13 certified, NFPA, KKK-1822-F, 9-32 Vdc, 1.5' Pigtail, Clear Housing/Lens, 12 LED, Single Color - Red</t>
  </si>
  <si>
    <t>EMPSC07M8-W</t>
  </si>
  <si>
    <t>mpower® 7x3 Warning Light, Screw Mount, SAE J595 Class 1, CA Title 13 certified, NFPA, KKK-1822-F, 9-32 Vdc, 1.5' Pigtail, Clear Housing/Lens, 12 LED, Single Color - White</t>
  </si>
  <si>
    <t>EMPSC07MA-D</t>
  </si>
  <si>
    <t>mpower® 7x3 Warning Light, Screw Mount, SAE J595 Class 1, CA Title 13 certified, NFPA, KKK-1822-F, 9-32 Vdc, 1.5' Pigtail, Clear Housing/Lens, 24 LED, Split Color - Red/White</t>
  </si>
  <si>
    <t>EMPSC07MA-E</t>
  </si>
  <si>
    <t>mpower® 7x3 Warning Light, Screw Mount, SAE J595 Class 1, CA Title 13 certified, NFPA, KKK-1822-F, 9-32 Vdc, 1.5' Pigtail, Clear Housing/Lens, 24 LED, Split Color - Blue/White</t>
  </si>
  <si>
    <t>EMPSC07MA-F</t>
  </si>
  <si>
    <t>mpower® 7x3 Warning Light, Screw Mount, SAE J595 Class 1, CA Title 13 certified, NFPA, KKK-1822-F, 9-32 Vdc, 1.5' Pigtail, Clear Housing/Lens, 24 LED, Split Color - Amber/White</t>
  </si>
  <si>
    <t>EMPSC07MA-J</t>
  </si>
  <si>
    <t>mpower® 7x3 Warning Light, Screw Mount, SAE J595 Class 1, CA Title 13 certified, NFPA, KKK-1822-F, 9-32 Vdc, 1.5' Pigtail, Clear Housing/Lens, 24 LED, Split Color - Red/Blue</t>
  </si>
  <si>
    <t>EMPSC07MA-K</t>
  </si>
  <si>
    <t>mpower® 7x3 Warning Light, Screw Mount, SAE J595 Class 1, CA Title 13 certified, NFPA, KKK-1822-F, 9-32 Vdc, 1.5' Pigtail, Clear Housing/Lens, 24 LED, Split Color - Red/Amber</t>
  </si>
  <si>
    <t>EMPSC07MA-M</t>
  </si>
  <si>
    <t>mpower® 7x3 Warning Light, Screw Mount, SAE J595 Class 1, CA Title 13 certified, NFPA, KKK-1822-F, 9-32 Vdc, 1.5' Pigtail, Clear Housing/Lens, 24 LED, Split Color - Blue/Amber</t>
  </si>
  <si>
    <t>EMPSC07MB-6</t>
  </si>
  <si>
    <t>mpower® 7x3 Warning Light, Screw Mount, SAE J595 Class 1, CA Title 13 certified, NFPA, KKK-1822-F, 9-32 Vdc, 1.5' Pigtail, Clear Housing/Lens, 36 LED, Tricolor - Red/Blue/Amber</t>
  </si>
  <si>
    <t>EMPSC07MB-8</t>
  </si>
  <si>
    <t>mpower® 7x3 Warning Light, Screw Mount, SAE J595 Class 1, CA Title 13 certified, NFPA, KKK-1822-F, 9-32 Vdc, 1.5' Pigtail, Clear Housing/Lens, 36 LED, Tricolor - Red/Blue/White</t>
  </si>
  <si>
    <t>EMPSC07MC-W</t>
  </si>
  <si>
    <t>mpower® 7x3 Backup Light, Screw Mount, SAE J595 Class 1, CA Title 13 certified, NFPA, KKK-1822-F, FMVSS-108, 9-32 Vdc, 1.5' Pigtail, Clear Housing/Lens, 18 LED - White</t>
  </si>
  <si>
    <t>EMPSC07MD-D</t>
  </si>
  <si>
    <t>mpower® 7x3 Backup Light w/Warning, Screw Mount, SAE J595 Class 1, CA Title 13 certified, NFPA, KKK-1822-F, FMVSS-108, 9-32 Vdc, 1.5' Pigtail, Clear Housing/Lens, 28 LED - Red/White</t>
  </si>
  <si>
    <t>EMPSC07MD-E</t>
  </si>
  <si>
    <t>mpower® 7x3 Backup Light w/Warning, Screw Mount, SAE J595 Class 1, CA Title 13 certified, NFPA, KKK-1822-F, FMVSS-108, 9-32 Vdc, 1.5' Pigtail, Clear Housing/Lens, 28 LED - Blue/White</t>
  </si>
  <si>
    <t>EMPSC07MD-F</t>
  </si>
  <si>
    <t>mpower® 7x3 Backup Light w/Warning, Screw Mount, SAE J595 Class 1, CA Title 13 certified, NFPA, KKK-1822-F, FMVSS-108, 9-32 Vdc, 1.5' Pigtail, Clear Housing/Lens, 28 LED - Amber/White</t>
  </si>
  <si>
    <t>EMPSC07ME-R</t>
  </si>
  <si>
    <t>mpower® 7x3 Stop/Tail &amp; Turn Light, Screw Mount, SAE J595 Class 1, CA Title 13 certified, NFPA, KKK-1822-F, FMVSS-108, 9-32 Vdc, 1.5' Pigtail, Clear Housing/Lens, 18 LED - Red</t>
  </si>
  <si>
    <t>EMPSC07MF-A</t>
  </si>
  <si>
    <t>mpower® 7x3 Turn Light, Screw Mount, SAE J595 Class 1, CA Title 13 certified, NFPA, KKK-1822-F, FMVSS-108, 9-32 Vdc, 1.5' Pigtail, Clear Housing/Lens, 18 LED - Amber</t>
  </si>
  <si>
    <t>EMPSC07MH-A</t>
  </si>
  <si>
    <t>mpower® 7x3 Warning Light, Stud Mount, SAE J595 Class 1, CA Title 13 certified, NFPA, KKK-1822-F, 9-32 Vdc, 1.5' Pigtail, Clear Housing/Lens, 12 LED, Single Color - Amber</t>
  </si>
  <si>
    <t>EMPSC07MH-B</t>
  </si>
  <si>
    <t>mpower® 7x3 Warning Light, Stud Mount, SAE J595 Class 1, CA Title 13 certified, NFPA, KKK-1822-F, 9-32 Vdc, 1.5' Pigtail, Clear Housing/Lens, 12 LED, Single Color - Blue</t>
  </si>
  <si>
    <t>EMPSC07MH-R</t>
  </si>
  <si>
    <t>mpower® 7x3 Warning Light, Stud Mount, SAE J595 Class 1, CA Title 13 certified, NFPA, KKK-1822-F, 9-32 Vdc, 1.5' Pigtail, Clear Housing/Lens, 12 LED, Single Color - Red</t>
  </si>
  <si>
    <t>EMPSC07MH-W</t>
  </si>
  <si>
    <t>mpower® 7x3 Warning Light, Stud Mount, SAE J595 Class 1, CA Title 13 certified, NFPA, KKK-1822-F, 9-32 Vdc, 1.5' Pigtail, Clear Housing/Lens, 12 LED, Single Color - White</t>
  </si>
  <si>
    <t>EMPSC07MJ-D</t>
  </si>
  <si>
    <t>mpower® 7x3 Warning Light, Stud Mount, SAE J595 Class 1, CA Title 13 certified, NFPA, KKK-1822-F, 9-32 Vdc, 1.5' Pigtail, Clear Housing/Lens, 24 LED, Dual Color - Red/White</t>
  </si>
  <si>
    <t>EMPSC07MJ-E</t>
  </si>
  <si>
    <t>mpower® 7x3 Warning Light, Stud Mount, SAE J595 Class 1, CA Title 13 certified, NFPA, KKK-1822-F, 9-32 Vdc, 1.5' Pigtail, Clear Housing/Lens, 24 LED, Dual Color - Blue/White</t>
  </si>
  <si>
    <t>EMPSC07MJ-F</t>
  </si>
  <si>
    <t>mpower® 7x3 Warning Light, Stud Mount, SAE J595 Class 1, CA Title 13 certified, NFPA, KKK-1822-F, 9-32 Vdc, 1.5' Pigtail, Clear Housing/Lens, 24 LED, Dual Color - Amber/White</t>
  </si>
  <si>
    <t>EMPSC07MJ-J</t>
  </si>
  <si>
    <t>mpower® 7x3 Warning Light, Stud Mount, SAE J595 Class 1, CA Title 13 certified, NFPA, KKK-1822-F, 9-32 Vdc, 1.5' Pigtail, Clear Housing/Lens, 24 LED, Dual Color - Red/Blue</t>
  </si>
  <si>
    <t>EMPSC07MK-D</t>
  </si>
  <si>
    <t>mpower® 7x3 Warning Light, Stud Mount, SAE J595 Class 1, CA Title 13 certified, NFPA, KKK-1822-F, 9-32 Vdc, 1.5' Pigtail, Clear Housing/Lens, 24 LED, Split Color - Red/White</t>
  </si>
  <si>
    <t>EMPSC07MK-E</t>
  </si>
  <si>
    <t>mpower® 7x3 Warning Light, Stud Mount, SAE J595 Class 1, CA Title 13 certified, NFPA, KKK-1822-F, 9-32 Vdc, 1.5' Pigtail, Clear Housing/Lens, 24 LED, Split Color - Blue/White</t>
  </si>
  <si>
    <t>EMPSC07MK-F</t>
  </si>
  <si>
    <t>mpower® 7x3 Warning Light, Stud Mount, SAE J595 Class 1, CA Title 13 certified, NFPA, KKK-1822-F, 9-32 Vdc, 1.5' Pigtail, Clear Housing/Lens, 24 LED, Split Color - Amber/White</t>
  </si>
  <si>
    <t>EMPSC07MK-J</t>
  </si>
  <si>
    <t>mpower® 7x3 Warning Light, Stud Mount, SAE J595 Class 1, CA Title 13 certified, NFPA, KKK-1822-F, 9-32 Vdc, 1.5' Pigtail, Clear Housing/Lens, 24 LED, Split Color - Red/Blue</t>
  </si>
  <si>
    <t>EMPSC07MK-K</t>
  </si>
  <si>
    <t>mpower® 7x3 Warning Light, Stud Mount, SAE J595 Class 1, CA Title 13 certified, NFPA, KKK-1822-F, 9-32 Vdc, 1.5' Pigtail, Clear Housing/Lens, 24 LED, Split Color - Red/Amber</t>
  </si>
  <si>
    <t>EMPSC07MK-M</t>
  </si>
  <si>
    <t>mpower® 7x3 Warning Light, Stud Mount, SAE J595 Class 1, CA Title 13 certified, NFPA, KKK-1822-F, 9-32 Vdc, 1.5' Pigtail, Clear Housing/Lens, 24 LED, Split Color - Blue/Amber</t>
  </si>
  <si>
    <t>EMPSC07ML-6</t>
  </si>
  <si>
    <t>mpower® 7x3 Warning Light, Stud Mount, SAE J595 Class 1, CA Title 13 certified, NFPA, KKK-1822-F, 9-32 Vdc, 1.5' Pigtail, Clear Housing/Lens, 36 LED, Tricolor - Red/Blue/Amber</t>
  </si>
  <si>
    <t>EMPSC07ML-8</t>
  </si>
  <si>
    <t>mpower® 7x3 Warning Light, Stud Mount, SAE J595 Class 1, CA Title 13 certified, NFPA, KKK-1822-F, 9-32 Vdc, 1.5' Pigtail, Clear Housing/Lens, 36 LED, Tricolor - Red/Blue/White</t>
  </si>
  <si>
    <t>EMPSC07MM-W</t>
  </si>
  <si>
    <t>mpower® 7x3 Backup Light, Stud Mount, SAE J595 Class 1, CA Title 13 certified, NFPA, KKK-1822-F, FMVSS-108, 9-32 Vdc, 1.5' Pigtail, Clear Housing/Lens, 18 LED - White</t>
  </si>
  <si>
    <t>EMPSC07MN-D</t>
  </si>
  <si>
    <t>mpower® 7x3 Backup Light w/warning, Stud Mount, SAE J595 Class 1, CA Title 13 certified, NFPA, KKK-1822-F, FMVSS-108, 9-32 Vdc, 1.5' Pigtail, Clear Housing/Lens, 28 LED - Red/White</t>
  </si>
  <si>
    <t>EMPSC07MN-E</t>
  </si>
  <si>
    <t>mpower® 7x3 Backup Light w/warning, Stud Mount, SAE J595 Class 1, CA Title 13 certified, NFPA, KKK-1822-F, FMVSS-108, 9-32 Vdc, 1.5' Pigtail, Clear Housing/Lens, 28 LED - Blue/White</t>
  </si>
  <si>
    <t>EMPSC07MN-F</t>
  </si>
  <si>
    <t>mpower® 7x3 Backup Light w/warning, Stud Mount, SAE J595 Class 1, CA Title 13 certified, NFPA, KKK-1822-F, FMVSS-108, 9-32 Vdc, 1.5' Pigtail, Clear Housing/Lens, 28 LED - Amber/White</t>
  </si>
  <si>
    <t>EMPSC07MP-R</t>
  </si>
  <si>
    <t>mpower® 7x3 Stop/Tail &amp; Turn Light, Stud Mount, SAE J595 Class 1, CA Title 13 certified, NFPA, KKK-1822-F, FMVSS-108, 9-32 Vdc, 1.5' Pigtail, Clear Housing/Lens, 18 LED - Red</t>
  </si>
  <si>
    <t>EMPSC07MQ-A</t>
  </si>
  <si>
    <t>mpower® 7x3 Turn Light, Stud Mount, SAE J595 Class 1, CA Title 13 certified, NFPA, KKK-1822-F, FMVSS-108, 9-32 Vdc, 1.5' Pigtail, Clear Housing/Lens, 18 LED - Amber</t>
  </si>
  <si>
    <t>EMPSC0Z3V-W</t>
  </si>
  <si>
    <t>mpower® 7x3 Scene Light, Quick Mount, 9-32 Vdc, 1.5' Pigtail, Clear Lens, 12 LED, Single Color, White</t>
  </si>
  <si>
    <t>EMPSC0Z3W-W</t>
  </si>
  <si>
    <t>mpower® 7x3 Scene Light, Screw Mount, 9-32 Vdc, 1.5' Pigtail, Clear Lens, 12 LED, Single Color, White</t>
  </si>
  <si>
    <t>EMPSC0Z3X-W</t>
  </si>
  <si>
    <t>mpower® 7x3 Scene Light, Stud Mount, 9-32 Vdc, 1.5' Pigtail, Clear Lens, 12 LED, Single Color, White</t>
  </si>
  <si>
    <t>EMPSE15C4-A</t>
  </si>
  <si>
    <t>mpower® 9x7 Warning Light w/ Screw Mount,  NFPA 1901, KKK-1822-F, SAE J575, SAE J578, CA Title 13 Certified, IP67, 9-32 Vdc, 1.5' Pigtail, Clear Housing/Lens, 36 LED, Single Color, Amber</t>
  </si>
  <si>
    <t>EMPSE15C4-B</t>
  </si>
  <si>
    <t>mpower® 9x7 Warning Light w/ Screw Mount,  NFPA 1901, KKK-1822-F, SAE J575, SAE J578, CA Title 13 Certified, IP67, 9-32 Vdc, 1.5' Pigtail, Clear Housing/Lens, 36 LED, Single Color, Blue</t>
  </si>
  <si>
    <t>EMPSE15C4-R</t>
  </si>
  <si>
    <t>mpower® 9x7 Warning Light w/ Screw Mount,  NFPA 1901, KKK-1822-F, SAE J575, SAE J578, CA Title 13 Certified, IP67, 9-32 Vdc, 1.5' Pigtail, Clear Housing/Lens, 36 LED, Single Color, Red</t>
  </si>
  <si>
    <t>EMPSE15C4-W</t>
  </si>
  <si>
    <t>mpower® 9x7 Warning Light w/ Screw Mount,  NFPA 1901, KKK-1822-F, SAE J575, SAE J578, CA Title 13 Certified, IP67, 9-32 Vdc, 1.5' Pigtail, Clear Housing/Lens, 36 LED, Single Color, White</t>
  </si>
  <si>
    <t>EMPSE15C5-D</t>
  </si>
  <si>
    <t>mpower® 9x7 Warning Light w/ Screw Mount,  NFPA 1901, KKK-1822-F, SAE J575, SAE J578, CA Title 13 Certified, IP67, 9-32 Vdc, 1.5' Pigtail, Clear Housing/Lens, 72 LED, Dual Color, Red/White</t>
  </si>
  <si>
    <t>EMPSE15C5-E</t>
  </si>
  <si>
    <t>mpower® 9x7 Warning Light w/ Screw Mount,  NFPA 1901, KKK-1822-F, SAE J575, SAE J578, CA Title 13 Certified, IP67, 9-32 Vdc, 1.5' Pigtail, Clear Housing/Lens, 72 LED, Dual Color, Blue/White</t>
  </si>
  <si>
    <t>EMPSE15C5-F</t>
  </si>
  <si>
    <t>mpower® 9x7 Warning Light w/ Screw Mount,  NFPA 1901, KKK-1822-F, SAE J575, SAE J578, CA Title 13 Certified, IP67, 9-32 Vdc, 1.5' Pigtail, Clear Housing/Lens, 72 LED, Dual Color, Amber/White</t>
  </si>
  <si>
    <t>EMPSE15C5-J</t>
  </si>
  <si>
    <t>mpower® 9x7 Warning Light w/ Screw Mount,  NFPA 1901, KKK-1822-F, SAE J575, SAE J578, CA Title 13 Certified, IP67, 9-32 Vdc, 1.5' Pigtail, Clear Housing/Lens, 72 LED, Dual Color, Red/Blue</t>
  </si>
  <si>
    <t>EMPSE15C6-D</t>
  </si>
  <si>
    <t>mpower® 9x7 Warning Light w/ Screw Mount,  NFPA 1901, KKK-1822-F, SAE J575, SAE J578, CA Title 13 Certified, IP67, 9-32 Vdc, 1.5' Pigtail, Clear Housing/Lens, 72 LED, Left Right, Split Color, Red/White</t>
  </si>
  <si>
    <t>EMPSE15C6-E</t>
  </si>
  <si>
    <t>mpower® 9x7 Warning Light w/ Screw Mount,  NFPA 1901, KKK-1822-F, SAE J575, SAE J578, CA Title 13 Certified, IP67, 9-32 Vdc, 1.5' Pigtail, Clear Housing/Lens, 72 LED, Left Right, Split Color, Blue/White</t>
  </si>
  <si>
    <t>EMPSE15C6-F</t>
  </si>
  <si>
    <t>mpower® 9x7 Warning Light w/ Screw Mount,  NFPA 1901, KKK-1822-F, SAE J575, SAE J578, CA Title 13 Certified, IP67, 9-32 Vdc, 1.5' Pigtail, Clear Housing/Lens, 72 LED, Left Right, Split Color, Amber/White</t>
  </si>
  <si>
    <t>EMPSE15C6-J</t>
  </si>
  <si>
    <t>mpower® 9x7 Warning Light w/ Screw Mount,  NFPA 1901, KKK-1822-F, SAE J575, SAE J578, CA Title 13 Certified, IP67, 9-32 Vdc, 1.5' Pigtail, Clear Housing/Lens, 72 LED, Left Right, Split Color, Red/Blue</t>
  </si>
  <si>
    <t>EMPSE15C6-K</t>
  </si>
  <si>
    <t>mpower® 9x7 Warning Light w/ Screw Mount,  NFPA 1901, KKK-1822-F, SAE J575, SAE J578, CA Title 13 Certified, IP67, 9-32 Vdc, 1.5' Pigtail, Clear Housing/Lens, 72 LED, Left Right, Split Color, Red/Amber</t>
  </si>
  <si>
    <t>EMPSE15C6-M</t>
  </si>
  <si>
    <t>mpower® 9x7 Warning Light w/ Screw Mount,  NFPA 1901, KKK-1822-F, SAE J575, SAE J578, CA Title 13 Certified, IP67, 9-32 Vdc, 1.5' Pigtail, Clear Housing/Lens, 72 LED, Left Right, Split Color, Blue/Amber</t>
  </si>
  <si>
    <t>EMPSE15C7-D</t>
  </si>
  <si>
    <t>mpower® 9x7 Warning Light w/ Screw Mount,  NFPA 1901, KKK-1822-F, SAE J575, SAE J578, CA Title 13 Certified, IP67, 9-32 Vdc, 1.5' Pigtail, Clear Housing/Lens, 72 LED, Top Bottom, Split Color, Red/White</t>
  </si>
  <si>
    <t>EMPSE15C7-E</t>
  </si>
  <si>
    <t>mpower® 9x7 Warning Light w/ Screw Mount,  NFPA 1901, KKK-1822-F, SAE J575, SAE J578, CA Title 13 Certified, IP67, 9-32 Vdc, 1.5' Pigtail, Clear Housing/Lens, 72 LED, Top Bottom, Split Color, Blue/White</t>
  </si>
  <si>
    <t>EMPSE15C7-F</t>
  </si>
  <si>
    <t>mpower® 9x7 Warning Light w/ Screw Mount,  NFPA 1901, KKK-1822-F, SAE J575, SAE J578, CA Title 13 Certified, IP67, 9-32 Vdc, 1.5' Pigtail, Clear Housing/Lens, 72 LED, Top Bottom, Split Color, Amber/White</t>
  </si>
  <si>
    <t>EMPSE15C7-J</t>
  </si>
  <si>
    <t>mpower® 9x7 Warning Light w/ Screw Mount,  NFPA 1901, KKK-1822-F, SAE J575, SAE J578, CA Title 13 Certified, IP67, 9-32 Vdc, 1.5' Pigtail, Clear Housing/Lens, 72 LED, Top Bottom, Split Color, Red/Blue</t>
  </si>
  <si>
    <t>EMPSE15C7-K</t>
  </si>
  <si>
    <t>mpower® 9x7 Warning Light w/ Screw Mount,  NFPA 1901, KKK-1822-F, SAE J575, SAE J578, CA Title 13 Certified, IP67, 9-32 Vdc, 1.5' Pigtail, Clear Housing/Lens, 72 LED, Top Bottom, Split Color, Red/Amber</t>
  </si>
  <si>
    <t>EMPSE15C7-M</t>
  </si>
  <si>
    <t>mpower® 9x7 Warning Light w/ Screw Mount,  NFPA 1901, KKK-1822-F, SAE J575, SAE J578, CA Title 13 Certified, IP67, 9-32 Vdc, 1.5' Pigtail, Clear Housing/Lens, 72 LED, Top Bottom, Split Color, Blue/Amber</t>
  </si>
  <si>
    <t>EMPSE15CC-W</t>
  </si>
  <si>
    <t>mpower® 9x7 Scene Light, Screw Mount, NFPA, KKK-1822-F, 10-32 Vdc, 1.5' Pigtail, Clear Lens, 36 LED, Single Color, White</t>
  </si>
  <si>
    <t>EMPSE15CE-R</t>
  </si>
  <si>
    <t>mpower® 9x7 Stop/Tail/Turn Light w/ Screw Mount, FMVSS108, 9-32 Vdc, 1.5' Pigtail, Clear Housing/Lens, 36 LED, Red</t>
  </si>
  <si>
    <t>EMPSE15CF-A</t>
  </si>
  <si>
    <t>mpower® 9x7 Turn Light w/ Screw Mount, FMVSS108, 9-32 Vdc, 1.5' Pigtail, Clear Housing/Lens, 36 LED, Amber</t>
  </si>
  <si>
    <t>EMPSE15C8-A</t>
  </si>
  <si>
    <t>mpower® 9x7 Warning Light w/ Stud Mount,  NFPA 1901, KKK-1822-F, SAE J575, SAE J578, CA Title 13 Certified, IP67, 9-32 Vdc, 1.5' Pigtail, Clear Housing/Lens, 36 LED, Single Color, Amber</t>
  </si>
  <si>
    <t>EMPSE15C8-B</t>
  </si>
  <si>
    <t>mpower® 9x7 Warning Light w/ Stud Mount,  NFPA 1901, KKK-1822-F, SAE J575, SAE J578, CA Title 13 Certified, IP67, 9-32 Vdc, 1.5' Pigtail, Clear Housing/Lens, 36 LED, Single, Color, Blue</t>
  </si>
  <si>
    <t>EMPSE15C8-R</t>
  </si>
  <si>
    <t>mpower® 9x7 Warning Light w/ Stud Mount,  NFPA 1901, KKK-1822-F, SAE J575, SAE J578, CA Title 13 Certified, IP67, 9-32 Vdc, 1.5' Pigtail, Clear Housing/Lens, 36 LED, Single, Color, Red</t>
  </si>
  <si>
    <t>EMPSE15C8-W</t>
  </si>
  <si>
    <t>mpower® 9x7 Warning Light w/ Stud Mount,  NFPA 1901, KKK-1822-F, SAE J575, SAE J578, CA Title 13 Certified, IP67, 9-32 Vdc, 1.5' Pigtail, Clear Housing/Lens, 36 LED, Single, Color, White</t>
  </si>
  <si>
    <t>EMPSE15C9-D</t>
  </si>
  <si>
    <t>mpower® 9x7 Warning Light w/ Stud Mount,  NFPA 1901, KKK-1822-F, SAE J575, SAE J578, CA Title 13 Certified, IP67, 9-32 Vdc, 1.5' Pigtail, Clear Housing/Lens, 72 LED, Dual Color, Red/White</t>
  </si>
  <si>
    <t>EMPSE15C9-E</t>
  </si>
  <si>
    <t>mpower® 9x7 Warning Light w/ Stud Mount,  NFPA 1901, KKK-1822-F, SAE J575, SAE J578, CA Title 13 Certified, IP67, 9-32 Vdc, 1.5' Pigtail, Clear Housing/Lens, 72 LED, Dual Color, Blue/White</t>
  </si>
  <si>
    <t>EMPSE15C9-F</t>
  </si>
  <si>
    <t>mpower® 9x7 Warning Light w/ Stud Mount,  NFPA 1901, KKK-1822-F, SAE J575, SAE J578, CA Title 13 Certified, IP67, 9-32 Vdc, 1.5' Pigtail, Clear Housing/Lens, 72 LED, Dual Color, Amber/White</t>
  </si>
  <si>
    <t>EMPSE15C9-J</t>
  </si>
  <si>
    <t>mpower® 9x7 Warning Light w/ Stud Mount,  NFPA 1901, KKK-1822-F, SAE J575, SAE J578, CA Title 13 Certified, IP67, 9-32 Vdc, 1.5' Pigtail, Clear Housing/Lens, 72 LED, Dual Color, Red/Blue</t>
  </si>
  <si>
    <t>EMPSE15CA-D</t>
  </si>
  <si>
    <t>mpower® 9x7 Warning Light w/ Stud Mount,  NFPA 1901, KKK-1822-F, SAE J575, SAE J578, CA Title 13 Certified, IP67, 9-32 Vdc, 1.5' Pigtail, Clear Housing/Lens, 72 LED, Left Right, Split Color, Red/White</t>
  </si>
  <si>
    <t>EMPSE15CA-E</t>
  </si>
  <si>
    <t>mpower® 9x7 Warning Light w/ Stud Mount,  NFPA 1901, KKK-1822-F, SAE J575, SAE J578, CA Title 13 Certified, IP67, 9-32 Vdc, 1.5' Pigtail, Clear Housing/Lens, 72 LED, Left Right, Split Color, Blue/White</t>
  </si>
  <si>
    <t>EMPSE15CA-F</t>
  </si>
  <si>
    <t>mpower® 9x7 Warning Light w/ Stud Mount,  NFPA 1901, KKK-1822-F, SAE J575, SAE J578, CA Title 13 Certified, IP67, 9-32 Vdc, 1.5' Pigtail, Clear Housing/Lens, 72 LED, Left Right, Split Color, Amber/White</t>
  </si>
  <si>
    <t>EMPSE15CA-J</t>
  </si>
  <si>
    <t>mpower® 9x7 Warning Light w/ Stud Mount,  NFPA 1901, KKK-1822-F, SAE J575, SAE J578, CA Title 13 Certified, IP67, 9-32 Vdc, 1.5' Pigtail, Clear Housing/Lens, 72 LED, Left Right, Split Color, Red/Blue</t>
  </si>
  <si>
    <t>EMPSE15CA-K</t>
  </si>
  <si>
    <t>mpower® 9x7 Warning Light w/ Stud Mount,  NFPA 1901, KKK-1822-F, SAE J575, SAE J578, CA Title 13 Certified, IP67, 9-32 Vdc, 1.5' Pigtail, Clear Housing/Lens, 72 LED, Left Right, Split Color, Red/Amber</t>
  </si>
  <si>
    <t>EMPSE15CA-M</t>
  </si>
  <si>
    <t>mpower® 9x7 Warning Light w/ Stud Mount,  NFPA 1901, KKK-1822-F, SAE J575, SAE J578, CA Title 13 Certified, IP67, 9-32 Vdc, 1.5' Pigtail, Clear Housing/Lens, 72 LED, Left Right, Split Color, Blue/Amber</t>
  </si>
  <si>
    <t>EMPSE15CB-D</t>
  </si>
  <si>
    <t>mpower® 9x7 Warning Light w/ Stud Mount,  NFPA 1901, KKK-1822-F, SAE J575, SAE J578, CA Title 13 Certified, IP67, 9-32 Vdc, 1.5' Pigtail, Clear Housing/Lens, 72 LED, Top Bottom, Split Color, Red/White</t>
  </si>
  <si>
    <t>EMPSE15CB-E</t>
  </si>
  <si>
    <t>mpower® 9x7 Warning Light w/ Stud Mount,  NFPA 1901, KKK-1822-F, SAE J575, SAE J578, CA Title 13 Certified, IP67, 9-32 Vdc, 1.5' Pigtail, Clear Housing/Lens, 72 LED, Top Bottom, Split Color, Blue/White</t>
  </si>
  <si>
    <t>EMPSE15CB-F</t>
  </si>
  <si>
    <t>mpower® 9x7 Warning Light w/ Stud Mount,  NFPA 1901, KKK-1822-F, SAE J575, SAE J578, CA Title 13 Certified, IP67, 9-32 Vdc, 1.5' Pigtail, Clear Housing/Lens, 72 LED, Top Bottom, Split Color, Amber/White</t>
  </si>
  <si>
    <t>EMPSE15CB-J</t>
  </si>
  <si>
    <t>mpower® 9x7 Warning Light w/ Stud Mount,  NFPA 1901, KKK-1822-F, SAE J575, SAE J578, CA Title 13 Certified, IP67, 9-32 Vdc, 1.5' Pigtail, Clear Housing/Lens, 72 LED, Top Bottom, Split Color, Red/Blue</t>
  </si>
  <si>
    <t>EMPSE15CB-K</t>
  </si>
  <si>
    <t>mpower® 9x7 Warning Light w/ Stud Mount,  NFPA 1901, KKK-1822-F, SAE J575, SAE J578, CA Title 13 Certified, IP67, 9-32 Vdc, 1.5' Pigtail, Clear Housing/Lens, 72 LED, Top Bottom, Split Color, Red/Amber</t>
  </si>
  <si>
    <t>EMPSE15CB-M</t>
  </si>
  <si>
    <t>mpower® 9x7 Warning Light w/ Stud Mount,  NFPA 1901, KKK-1822-F, SAE J575, SAE J578, CA Title 13 Certified, IP67, 9-32 Vdc, 1.5' Pigtail, Clear Housing/Lens, 72 LED, Top Bottom, Split Color, Blue/Amber</t>
  </si>
  <si>
    <t>EMPSE15CG-W</t>
  </si>
  <si>
    <t>mpower® 9x7 Scene Light, Stud Mount, NFPA, KKK-1822-F, 10-32 Vdc, 1.5' Pigtail, Clear Lens, 36 LED, Single Color, White</t>
  </si>
  <si>
    <t>EMPSE15CH-R</t>
  </si>
  <si>
    <t>mpower® 9x7 Stop/Tail/Turn Light w/ Stud Mount, FMVSS108, 9-32 Vdc, 1.5' Pigtail, Clear Housing/Lens, 36 LED, Red</t>
  </si>
  <si>
    <t>EMPSE15CJ-A</t>
  </si>
  <si>
    <t>mpower® 9x7 Turn Light w/ Stud Mount, FMVSS108, 9-32 Vdc, 1.5' Pigtail, Clear Housing/Lens, 36 LED, Amber</t>
  </si>
  <si>
    <t>EMPSCG1QMS1A</t>
  </si>
  <si>
    <t>mpower® 3” 3-Wire Light w/ Quick Mount, for use with mpower Arrow Kit and Connect-n-Go, SAE Class 1 &amp; CA Title 13, 9-32 Vdc, Black Housing, 4 LED, Single Color - Amber</t>
  </si>
  <si>
    <t>EMPSCG1QMS1B</t>
  </si>
  <si>
    <t>mpower® 3” 3-Wire Light w/ Quick Mount, for use with mpower Arrow Kit and Connect-n-Go, SAE Class 1 &amp; CA Title 13, 9-32 Vdc, Black Housing, 4 LED, Single Color - Blue</t>
  </si>
  <si>
    <t>EMPSCG1QMS1R</t>
  </si>
  <si>
    <t>mpower® 3” 3-Wire Light w/ Quick Mount, for use with mpower Arrow Kit and Connect-n-Go, SAE Class 1 &amp; CA Title 13, 9-32 Vdc, Black Housing, 4 LED, Single Color - Red</t>
  </si>
  <si>
    <t>EMPSCG1QMS1W</t>
  </si>
  <si>
    <t>mpower® 3” 3-Wire Light w/ Quick Mount, for use with mpower Arrow Kit and Connect-n-Go, SAE Class 1 &amp; CA Title 13, 9-32 Vdc, Black Housing, 4 LED, Single Color - White</t>
  </si>
  <si>
    <t>EMPSCG1QMS3A</t>
  </si>
  <si>
    <t>mpower® 3" 3-Wire Light w/ Quick Mount, for use with mpower Arrow Kit and Connect-n-Go, SAE Class 1 &amp; CA Title 13, 9-32 Vdc, Black Housing, 8 LED, Single Color - Amber</t>
  </si>
  <si>
    <t>EMPSCG1QMS3B</t>
  </si>
  <si>
    <t>mpower® 3" 3-Wire Light w/ Quick Mount, for use with mpower Arrow Kit and Connect-n-Go, SAE Class 1 &amp; CA Title 13, 9-32 Vdc, Black Housing, 8 LED, Single Color - Blue</t>
  </si>
  <si>
    <t>EMPSCG1QMS3D</t>
  </si>
  <si>
    <t>mpower® 3" 3-Wire Light w/ Quick Mount, for use with mpower Arrow Kit and Connect-n-Go, SAE Class 1 &amp; CA Title 13, 9-32 Vdc, Black Housing, 8 LED, Dual Color - Red/White</t>
  </si>
  <si>
    <t>EMPSCG1QMS3E</t>
  </si>
  <si>
    <t>mpower® 3" 3-Wire Light w/ Quick Mount, for use with mpower Arrow Kit and Connect-n-Go, SAE Class 1 &amp; CA Title 13, 9-32 Vdc, Black Housing, 8 LED, Dual Color - Blue/White</t>
  </si>
  <si>
    <t>EMPSCG1QMS3F</t>
  </si>
  <si>
    <t>mpower® 3" 3-Wire Light w/ Quick Mount, for use with mpower Arrow Kit and Connect-n-Go, SAE Class 1 &amp; CA Title 13, 9-32 Vdc, Black Housing, 8 LED, Dual Color - Amber/White</t>
  </si>
  <si>
    <t>EMPSCG1QMS3J</t>
  </si>
  <si>
    <t>mpower® 3" 3-Wire Light w/ Quick Mount, for use with mpower Arrow Kit and Connect-n-Go, SAE Class 1 &amp; CA Title 13, 9-32 Vdc, Black Housing, 8 LED, Dual Color - Red/Blue</t>
  </si>
  <si>
    <t>EMPSCG1QMS3K</t>
  </si>
  <si>
    <t>mpower® 3" 3-Wire Light w/ Quick Mount, for use with mpower Arrow Kit and Connect-n-Go, SAE Class 1 &amp; CA Title 13, 9-32 Vdc, Black Housing, 8 LED, Dual Color - Red/Amber</t>
  </si>
  <si>
    <t>EMPSCG1QMS3M</t>
  </si>
  <si>
    <t>mpower® 3" 3-Wire Light w/ Quick Mount, for use with mpower Arrow Kit and Connect-n-Go, SAE Class 1 &amp; CA Title 13, 9-32 Vdc, Black Housing, 8 LED, Dual Color - Blue/Amber</t>
  </si>
  <si>
    <t>EMPSCG1QMS3R</t>
  </si>
  <si>
    <t>mpower® 3" 3-Wire Light w/ Quick Mount, for use with mpower Arrow Kit and Connect-n-Go, SAE Class 1 &amp; CA Title 13, 9-32 Vdc, Black Housing, 8 LED, Single Color - Red</t>
  </si>
  <si>
    <t>EMPSCG1QMS3W</t>
  </si>
  <si>
    <t>mpower® 3" 3-Wire Light w/ Quick Mount, for use with mpower Arrow Kit and Connect-n-Go, SAE Class 1 &amp; CA Title 13, 9-32 Vdc, Black Housing, 8 LED, Single Color - White</t>
  </si>
  <si>
    <t>EMPSCG1QMS4BAW</t>
  </si>
  <si>
    <t>mpower® 3" 3-Wire Light w/ Quick Mount, for use with mpower Arrow Kit and Connect-n-Go, SAE Class 1 &amp; CA Title 13, 9-32 Vdc, Black Housing, 12 LED, Tricolor - Blue/Amber/White</t>
  </si>
  <si>
    <t>EMPSCG1QMS4RAW</t>
  </si>
  <si>
    <t>mpower® 3" 3-Wire Light w/ Quick Mount, for use with mpower Arrow Kit and Connect-n-Go, SAE Class 1 &amp; CA Title 13, 9-32 Vdc, Black Housing, 12 LED, Tricolor - Red/Amber/White</t>
  </si>
  <si>
    <t>EMPSCG1QMS4RBA</t>
  </si>
  <si>
    <t>mpower® 3" 3-Wire Light w/ Quick Mount, for use with mpower Arrow Kit and Connect-n-Go, SAE Class 1 &amp; CA Title 13, 9-32 Vdc, Black Housing, 12 LED, Tricolor - Red/Blue/Amber</t>
  </si>
  <si>
    <t>EMPSCG1QMS4RBW</t>
  </si>
  <si>
    <t>mpower® 3" 3-Wire Light w/ Quick Mount, for use with mpower Arrow Kit and Connect-n-Go, SAE Class 1 &amp; CA Title 13, 9-32 Vdc, Black Housing, 12 LED, Tricolor - Red/Blue/White</t>
  </si>
  <si>
    <t>EMPSCG1SMS1A</t>
  </si>
  <si>
    <t>mpower® 3” 3-Wire Light w/ Screw Mount, for use with mpower Arrow Kit and Connect-n-Go, SAE Class 1 &amp; CA Title 13, 9-32 Vdc, Black Housing, 4 LED, Single Color - Amber</t>
  </si>
  <si>
    <t>EMPSCG1SMS1B</t>
  </si>
  <si>
    <t>mpower® 3” 3-Wire Light w/ Screw Mount, for use with mpower Arrow Kit and Connect-n-Go, SAE Class 1 &amp; CA Title 13, 9-32 Vdc, Black Housing, 4 LED, Single Color - Blue</t>
  </si>
  <si>
    <t>EMPSCG1SMS1R</t>
  </si>
  <si>
    <t>mpower® 3” 3-Wire Light w/ Screw Mount, for use with mpower Arrow Kit and Connect-n-Go, SAE Class 1 &amp; CA Title 13, 9-32 Vdc, Black Housing, 4 LED, Single Color - Red</t>
  </si>
  <si>
    <t>EMPSCG1SMS1W</t>
  </si>
  <si>
    <t>mpower® 3” 3-Wire Light w/ Screw Mount, for use with mpower Arrow Kit and Connect-n-Go, SAE Class 1 &amp; CA Title 13, 9-32 Vdc, Black Housing, 4 LED, Single Color - White</t>
  </si>
  <si>
    <t>EMPSCG1SMS3A</t>
  </si>
  <si>
    <t>mpower® 3" 3-Wire Light w/ Screw Mount, for use with mpower Arrow Kit and Connect-n-Go, SAE Class 1 &amp; CA Title 13, 9-32 Vdc, Black Housing, 8 LED, Single Color - Amber</t>
  </si>
  <si>
    <t>EMPSCG1SMS3B</t>
  </si>
  <si>
    <t>mpower® 3" 3-Wire Light w/ Screw Mount, for use with mpower Arrow Kit and Connect-n-Go, SAE Class 1 &amp; CA Title 13, 9-32 Vdc, Black Housing, 8 LED, Single Color - Blue</t>
  </si>
  <si>
    <t>EMPSCG1SMS3D</t>
  </si>
  <si>
    <t>mpower® 3" 3-Wire Light w/ Screw Mount, for use with mpower Arrow Kit and Connect-n-Go, SAE Class 1 &amp; CA Title 13, 9-32 Vdc, Black Housing, 8 LED, Dual Color - Red/White</t>
  </si>
  <si>
    <t>EMPSCG1SMS3E</t>
  </si>
  <si>
    <t>mpower® 3" 3-Wire Light w/ Screw Mount, for use with mpower Arrow Kit and Connect-n-Go, SAE Class 1 &amp; CA Title 13, 9-32 Vdc, Black Housing, 8 LED, Dual Color - Blue/White</t>
  </si>
  <si>
    <t>EMPSCG1SMS3F</t>
  </si>
  <si>
    <t>mpower® 3" 3-Wire Light w/ Screw Mount, for use with mpower Arrow Kit and Connect-n-Go, SAE Class 1 &amp; CA Title 13, 9-32 Vdc, Black Housing, 8 LED, Dual Color - Amber/White</t>
  </si>
  <si>
    <t>EMPSCG1SMS3J</t>
  </si>
  <si>
    <t>mpower® 3" 3-Wire Light w/ Screw Mount, for use with mpower Arrow Kit and Connect-n-Go, SAE Class 1 &amp; CA Title 13, 9-32 Vdc, Black Housing, 8 LED, Dual Color - Red/Blue</t>
  </si>
  <si>
    <t>EMPSCG1SMS3K</t>
  </si>
  <si>
    <t>mpower® 3" 3-Wire Light w/ Screw Mount, for use with mpower Arrow Kit and Connect-n-Go, SAE Class 1 &amp; CA Title 13, 9-32 Vdc, Black Housing, 8 LED, Dual Color - Red/Amber</t>
  </si>
  <si>
    <t>EMPSCG1SMS3M</t>
  </si>
  <si>
    <t>mpower® 3" 3-Wire Light w/ Screw Mount, for use with mpower Arrow Kit and Connect-n-Go, SAE Class 1 &amp; CA Title 13, 9-32 Vdc, Black Housing, 8 LED, Dual Color - Blue/Amber</t>
  </si>
  <si>
    <t>EMPSCG1SMS3R</t>
  </si>
  <si>
    <t>mpower® 3" 3-Wire Light w/ Screw Mount, for use with mpower Arrow Kit and Connect-n-Go, SAE Class 1 &amp; CA Title 13, 9-32 Vdc, Black Housing, 8 LED, Single Color - Red</t>
  </si>
  <si>
    <t>EMPSCG1SMS3W</t>
  </si>
  <si>
    <t>mpower® 3" 3-Wire Light w/ Screw Mount, for use with mpower Arrow Kit and Connect-n-Go, SAE Class 1 &amp; CA Title 13, 9-32 Vdc, Black Housing, 8 LED, Single Color - White</t>
  </si>
  <si>
    <t>EMPSCG1SMS4BAW</t>
  </si>
  <si>
    <t>mpower® 3" 3-Wire Light w/ Screw Mount, for use with mpower Arrow Kit and Connect-n-Go, SAE Class 1 &amp; CA Title 13, 9-32 Vdc, Black Housing, 12 LED, Tricolor - Blue/Amber/White</t>
  </si>
  <si>
    <t>EMPSCG1SMS4RAW</t>
  </si>
  <si>
    <t>mpower® 3" 3-Wire Light w/ Screw Mount, for use with mpower Arrow Kit and Connect-n-Go, SAE Class 1 &amp; CA Title 13, 9-32 Vdc, Black Housing, 12 LED, Tricolor - Red/Amber/White</t>
  </si>
  <si>
    <t>EMPSCG1SMS4RBA</t>
  </si>
  <si>
    <t>mpower® 3" 3-Wire Light w/ Screw Mount, for use with mpower Arrow Kit and Connect-n-Go, SAE Class 1 &amp; CA Title 13, 9-32 Vdc, Black Housing, 12 LED, Tricolor - Red/Blue/Amber</t>
  </si>
  <si>
    <t>EMPSCG1SMS4RBW</t>
  </si>
  <si>
    <t>mpower® 3" 3-Wire Light w/ Screw Mount, for use with mpower Arrow Kit and Connect-n-Go, SAE Class 1 &amp; CA Title 13, 9-32 Vdc, Black Housing, 12 LED, Tricolor - Red/Blue/White</t>
  </si>
  <si>
    <t>EMPSCG1SLS1A</t>
  </si>
  <si>
    <t>mpower® 3” 3-Wire Light w/ Stud Mount, for use with mpower Arrow Kit and Connect-n-Go, SAE Class 1 &amp; CA Title 13, 9-32 Vdc, Black Housing, 4 LED, Single Color - Amber</t>
  </si>
  <si>
    <t>EMPSCG1SLS1B</t>
  </si>
  <si>
    <t>mpower® 3” 3-Wire Light w/ Stud Mount, for use with mpower Arrow Kit and Connect-n-Go, SAE Class 1 &amp; CA Title 13, 9-32 Vdc, Black Housing, 4 LED, Single Color - Blue</t>
  </si>
  <si>
    <t>EMPSCG1SLS1R</t>
  </si>
  <si>
    <t>mpower® 3” 3-Wire Light w/ Stud Mount, for use with mpower Arrow Kit and Connect-n-Go, SAE Class 1 &amp; CA Title 13, 9-32 Vdc, Black Housing, 4 LED, Single Color - Red</t>
  </si>
  <si>
    <t>EMPSCG1SLS1W</t>
  </si>
  <si>
    <t>mpower® 3” 3-Wire Light w/ Stud Mount, for use with mpower Arrow Kit and Connect-n-Go, SAE Class 1 &amp; CA Title 13, 9-32 Vdc, Black Housing, 4 LED, Single Color - White</t>
  </si>
  <si>
    <t>EMPSCG1SLS3A</t>
  </si>
  <si>
    <t>mpower® 3" 3-Wire Light w/ Stud Mount, for use with mpower Arrow Kit and Connect-n-Go, SAE Class 1 &amp; CA Title 13, 9-32 Vdc, Black Housing, 8 LED, Single Color - Amber</t>
  </si>
  <si>
    <t>EMPSCG1SLS3B</t>
  </si>
  <si>
    <t>mpower® 3" 3-Wire Light w/ Stud Mount, for use with mpower Arrow Kit and Connect-n-Go, SAE Class 1 &amp; CA Title 13, 9-32 Vdc, Black Housing, 8 LED, Single Color - Blue</t>
  </si>
  <si>
    <t>EMPSCG1SLS3D</t>
  </si>
  <si>
    <t>mpower® 3" 3-Wire Light w/ Stud Mount, for use with mpower Arrow Kit and Connect-n-Go, SAE Class 1 &amp; CA Title 13, 9-32 Vdc, Black Housing, 8 LED, Dual Color - Red/White</t>
  </si>
  <si>
    <t>EMPSCG1SLS3E</t>
  </si>
  <si>
    <t>mpower® 3" 3-Wire Light w/ Stud Mount, for use with mpower Arrow Kit and Connect-n-Go, SAE Class 1 &amp; CA Title 13, 9-32 Vdc, Black Housing, 8 LED, Dual Color - Blue/White</t>
  </si>
  <si>
    <t>EMPSCG1SLS3F</t>
  </si>
  <si>
    <t>mpower® 3" 3-Wire Light w/ Stud Mount, for use with mpower Arrow Kit and Connect-n-Go, SAE Class 1 &amp; CA Title 13, 9-32 Vdc, Black Housing, 8 LED, Dual Color - Amber/White</t>
  </si>
  <si>
    <t>EMPSCG1SLS3J</t>
  </si>
  <si>
    <t>mpower® 3" 3-Wire Light w/ Stud Mount, for use with mpower Arrow Kit and Connect-n-Go, SAE Class 1 &amp; CA Title 13, 9-32 Vdc, Black Housing, 8 LED, Dual Color - Red/Blue</t>
  </si>
  <si>
    <t>EMPSCG1SLS3K</t>
  </si>
  <si>
    <t>mpower® 3" 3-Wire Light w/ Stud Mount, for use with mpower Arrow Kit and Connect-n-Go, SAE Class 1 &amp; CA Title 13, 9-32 Vdc, Black Housing, 8 LED, Dual Color - Red/Amber</t>
  </si>
  <si>
    <t>EMPSCG1SLS3M</t>
  </si>
  <si>
    <t>mpower® 3" 3-Wire Light w/ Stud Mount, for use with mpower Arrow Kit and Connect-n-Go, SAE Class 1 &amp; CA Title 13, 9-32 Vdc, Black Housing, 8 LED, Dual Color - Blue/Amber</t>
  </si>
  <si>
    <t>EMPSCG1SLS3R</t>
  </si>
  <si>
    <t>mpower® 3" 3-Wire Light w/ Stud Mount, for use with mpower Arrow Kit and Connect-n-Go, SAE Class 1 &amp; CA Title 13, 9-32 Vdc, Black Housing, 8 LED, Single Color - Red</t>
  </si>
  <si>
    <t>EMPSCG1SLS3W</t>
  </si>
  <si>
    <t>mpower® 3" 3-Wire Light w/ Stud Mount, for use with mpower Arrow Kit and Connect-n-Go, SAE Class 1 &amp; CA Title 13, 9-32 Vdc, Black Housing, 8 LED, Single Color - White</t>
  </si>
  <si>
    <t>EMPSCG1SLS4BAW</t>
  </si>
  <si>
    <t>mpower® 3" 3-Wire Light w/ Stud Mount, for use with mpower Arrow Kit and Connect-n-Go, SAE Class 1 &amp; CA Title 13, 9-32 Vdc, Black Housing, 12 LED, Tricolor - Blue/Amber/White</t>
  </si>
  <si>
    <t>EMPSCG1SLS4RAW</t>
  </si>
  <si>
    <t>mpower® 3" 3-Wire Light w/ Stud Mount, for use with mpower Arrow Kit and Connect-n-Go, SAE Class 1 &amp; CA Title 13, 9-32 Vdc, Black Housing, 12 LED, Tricolor - Red/Amber/White</t>
  </si>
  <si>
    <t>EMPSCG1SLS4RBA</t>
  </si>
  <si>
    <t>mpower® 3" 3-Wire Light w/ Stud Mount, for use with mpower Arrow Kit and Connect-n-Go, SAE Class 1 &amp; CA Title 13, 9-32 Vdc, Black Housing, 12 LED, Tricolor - Red/Blue/Amber</t>
  </si>
  <si>
    <t>EMPSCG1SLS4RBW</t>
  </si>
  <si>
    <t>mpower® 3" 3-Wire Light w/ Stud Mount, for use with mpower Arrow Kit and Connect-n-Go, SAE Class 1 &amp; CA Title 13, 9-32 Vdc, Black Housing, 12 LED, Tricolor - Red/Blue/White</t>
  </si>
  <si>
    <t>EMPSCG2QMS2A</t>
  </si>
  <si>
    <t>mpower® 4” 3-Wire Light w/ Quick Mount, for use with mpower Arrow Kit and Connect-n-Go, SAE Class 1 &amp; CA Title 13, 9-32 Vdc, Black Housing, 6 LED, Single Color - Amber</t>
  </si>
  <si>
    <t>EMPSCG2QMS2B</t>
  </si>
  <si>
    <t>mpower® 4” 3-Wire Light w/ Quick Mount, for use with mpower Arrow Kit and Connect-n-Go, SAE Class 1 &amp; CA Title 13, 9-32 Vdc, Black Housing, 6 LED, Single Color - Blue</t>
  </si>
  <si>
    <t>EMPSCG2QMS2R</t>
  </si>
  <si>
    <t>mpower® 4” 3-Wire Light w/ Quick Mount, for use with mpower Arrow Kit and Connect-n-Go, SAE Class 1 &amp; CA Title 13, 9-32 Vdc, Black Housing, 6 LED, Single Color - Red</t>
  </si>
  <si>
    <t>EMPSCG2QMS2W</t>
  </si>
  <si>
    <t>mpower® 4” 3-Wire Light w/ Quick Mount, for use with mpower Arrow Kit and Connect-n-Go, SAE Class 1 &amp; CA Title 13, 9-32 Vdc, Black Housing, 6 LED, Single Color - White</t>
  </si>
  <si>
    <t>EMPSCG2QMS3A</t>
  </si>
  <si>
    <t>mpower® 4" 3-Wire Light w/ Quick Mount, for use with mpower Arrow Kit and Connect-n-Go, SAE Class 1 &amp; CA Title 13, 9-32 Vdc, Black Housing, 8 LED, Single Color - Amber</t>
  </si>
  <si>
    <t>EMPSCG2QMS3B</t>
  </si>
  <si>
    <t>mpower® 4" 3-Wire Light w/ Quick Mount, for use with mpower Arrow Kit and Connect-n-Go, SAE Class 1 &amp; CA Title 13, 9-32 Vdc, Black Housing, 8 LED, Single Color - Blue</t>
  </si>
  <si>
    <t>EMPSCG2QMS3R</t>
  </si>
  <si>
    <t>mpower® 4" 3-Wire Light w/ Quick Mount, for use with mpower Arrow Kit and Connect-n-Go, SAE Class 1 &amp; CA Title 13, 9-32 Vdc, Black Housing, 8 LED, Single Color - Red</t>
  </si>
  <si>
    <t>EMPSCG2QMS3W</t>
  </si>
  <si>
    <t>mpower® 4" 3-Wire Light w/ Quick Mount, for use with mpower Arrow Kit and Connect-n-Go, SAE Class 1 &amp; CA Title 13, 9-32 Vdc, Black Housing, 8 LED, Single Color - White</t>
  </si>
  <si>
    <t>EMPSCG2QMS4D</t>
  </si>
  <si>
    <t>mpower® 4" 3-Wire Light w/ Quick Mount, for use with mpower Arrow Kit and Connect-n-Go, SAE Class 1 &amp; CA Title 13, 9-32 Vdc, Black Housing, 12 LED, Dual Color - Red/White</t>
  </si>
  <si>
    <t>EMPSCG2QMS4E</t>
  </si>
  <si>
    <t>mpower® 4" 3-Wire Light w/ Quick Mount, for use with mpower Arrow Kit and Connect-n-Go, SAE Class 1 &amp; CA Title 13, 9-32 Vdc, Black Housing, 12 LED, Dual Color - Blue/White</t>
  </si>
  <si>
    <t>EMPSCG2QMS4F</t>
  </si>
  <si>
    <t>mpower® 4" 3-Wire Light w/ Quick Mount, for use with mpower Arrow Kit and Connect-n-Go, SAE Class 1 &amp; CA Title 13, 9-32 Vdc, Black Housing, 12 LED, Dual Color - Amber/White</t>
  </si>
  <si>
    <t>EMPSCG2QMS4J</t>
  </si>
  <si>
    <t>mpower® 4" 3-Wire Light w/ Quick Mount, for use with mpower Arrow Kit and Connect-n-Go, SAE Class 1 &amp; CA Title 13, 9-32 Vdc, Black Housing, 12 LED, Dual Color - Red/Blue</t>
  </si>
  <si>
    <t>EMPSCG2QMS4K</t>
  </si>
  <si>
    <t>mpower® 4" 3-Wire Light w/ Quick Mount, for use with mpower Arrow Kit and Connect-n-Go, SAE Class 1 &amp; CA Title 13, 9-32 Vdc, Black Housing, 12 LED, Dual Color - Red/Amber</t>
  </si>
  <si>
    <t>EMPSCG2QMS4M</t>
  </si>
  <si>
    <t>mpower® 4" 3-Wire Light w/ Quick Mount, for use with mpower Arrow Kit and Connect-n-Go, SAE Class 1 &amp; CA Title 13, 9-32 Vdc, Black Housing, 12 LED, Dual Color - Blue/Amber</t>
  </si>
  <si>
    <t>EMPSCG2QMS5BAW</t>
  </si>
  <si>
    <t>mpower® 4" 3-Wire Light w/ Quick Mount, for use with mpower Arrow Kit and Connect-n-Go, SAE Class 1 &amp; CA Title 13, 9-32 Vdc, Black Housing, 18 LED, Tricolor - Blue/Amber/White</t>
  </si>
  <si>
    <t>EMPSCG2QMS5RAW</t>
  </si>
  <si>
    <t>mpower® 4" 3-Wire Light w/ Quick Mount, for use with mpower Arrow Kit and Connect-n-Go, SAE Class 1 &amp; CA Title 13, 9-32 Vdc, Black Housing, 18 LED, Tricolor - Red/Amber/White</t>
  </si>
  <si>
    <t>EMPSCG2QMS5RBA</t>
  </si>
  <si>
    <t>mpower® 4" 3-Wire Light w/ Quick Mount, for use with mpower Arrow Kit and Connect-n-Go, SAE Class 1 &amp; CA Title 13, 9-32 Vdc, Black Housing, 18 LED, Tricolor - Red/Blue/Amber</t>
  </si>
  <si>
    <t>EMPSCG2QMS5RBW</t>
  </si>
  <si>
    <t>mpower® 4" 3-Wire Light w/ Quick Mount, for use with mpower Arrow Kit and Connect-n-Go, SAE Class 1 &amp; CA Title 13, 9-32 Vdc, Black Housing, 18 LED, Tricolor - Red/Blue/White</t>
  </si>
  <si>
    <t>EMPSCG2SMS2A</t>
  </si>
  <si>
    <t>mpower® 4" 3-Wire Light w/ Screw Mount, for use with mpower Arrow Kit and Connect-n-Go, SAE Class 1 &amp; CA Title 13, 9-32 Vdc, Black Housing, 6 LED, Single Color - Amber</t>
  </si>
  <si>
    <t>EMPSCG2SMS2B</t>
  </si>
  <si>
    <t>mpower® 4" 3-Wire Light w/ Screw Mount, for use with mpower Arrow Kit and Connect-n-Go, SAE Class 1 &amp; CA Title 13, 9-32 Vdc, Black Housing, 6 LED, Single Color - Blue</t>
  </si>
  <si>
    <t>EMPSCG2SMS2R</t>
  </si>
  <si>
    <t>mpower® 4" 3-Wire Light w/ Screw Mount, for use with mpower Arrow Kit and Connect-n-Go, SAE Class 1 &amp; CA Title 13, 9-32 Vdc, Black Housing, 6 LED, Single Color - Red</t>
  </si>
  <si>
    <t>EMPSCG2SMS2W</t>
  </si>
  <si>
    <t>mpower® 4" 3-Wire Light w/ Screw Mount, for use with mpower Arrow Kit and Connect-n-Go, SAE Class 1 &amp; CA Title 13, 9-32 Vdc, Black Housing, 6 LED, Single Color - White</t>
  </si>
  <si>
    <t>EMPSCG2SMS3A</t>
  </si>
  <si>
    <t>mpower® 4" 3-Wire Light w/ Screw Mount, for use with mpower Arrow Kit and Connect-n-Go, SAE Class 1 &amp; CA Title 13, 9-32 Vdc, Black Housing, 8 LED, Single Color - Amber</t>
  </si>
  <si>
    <t>EMPSCG2SMS3B</t>
  </si>
  <si>
    <t>mpower® 4" 3-Wire Light w/ Screw Mount, for use with mpower Arrow Kit and Connect-n-Go, SAE Class 1 &amp; CA Title 13, 9-32 Vdc, Black Housing, 8 LED, Single Color - Blue</t>
  </si>
  <si>
    <t>EMPSCG2SMS3R</t>
  </si>
  <si>
    <t>mpower® 4" 3-Wire Light w/ Screw Mount, for use with mpower Arrow Kit and Connect-n-Go, SAE Class 1 &amp; CA Title 13, 9-32 Vdc, Black Housing, 8 LED, Single Color - Red</t>
  </si>
  <si>
    <t>EMPSCG2SMS3W</t>
  </si>
  <si>
    <t>mpower® 4" 3-Wire Light w/ Screw Mount, for use with mpower Arrow Kit and Connect-n-Go, SAE Class 1 &amp; CA Title 13, 9-32 Vdc, Black Housing, 8 LED, Single Color - White</t>
  </si>
  <si>
    <t>EMPSCG2SMS4D</t>
  </si>
  <si>
    <t>mpower® 4" 3-Wire Light w/ Screw Mount, for use with mpower Arrow Kit and Connect-n-Go, SAE Class 1 &amp; CA Title 13, 9-32 Vdc, Black Housing, 12 LED, Dual Color - Red/White</t>
  </si>
  <si>
    <t>EMPSCG2SMS4E</t>
  </si>
  <si>
    <t>mpower® 4" 3-Wire Light w/ Screw Mount, for use with mpower Arrow Kit and Connect-n-Go, SAE Class 1 &amp; CA Title 13, 9-32 Vdc, Black Housing, 12 LED, Dual Color - Blue/White</t>
  </si>
  <si>
    <t>EMPSCG2SMS4F</t>
  </si>
  <si>
    <t>mpower® 4" 3-Wire Light w/ Screw Mount, for use with mpower Arrow Kit and Connect-n-Go, SAE Class 1 &amp; CA Title 13, 9-32 Vdc, Black Housing, 12 LED, Dual Color - Amber/White</t>
  </si>
  <si>
    <t>EMPSCG2SMS4J</t>
  </si>
  <si>
    <t>mpower® 4" 3-Wire Light w/ Screw Mount, for use with mpower Arrow Kit and Connect-n-Go, SAE Class 1 &amp; CA Title 13, 9-32 Vdc, Black Housing, 12 LED, Dual Color - Red/Blue</t>
  </si>
  <si>
    <t>EMPSCG2SMS4K</t>
  </si>
  <si>
    <t>mpower® 4" 3-Wire Light w/ Screw Mount, for use with mpower Arrow Kit and Connect-n-Go, SAE Class 1 &amp; CA Title 13, 9-32 Vdc, Black Housing, 12 LED, Dual Color - Red/Amber</t>
  </si>
  <si>
    <t>EMPSCG2SMS4M</t>
  </si>
  <si>
    <t>mpower® 4" 3-Wire Light w/ Screw Mount, for use with mpower Arrow Kit and Connect-n-Go, SAE Class 1 &amp; CA Title 13, 9-32 Vdc, Black Housing, 12 LED, Dual Color - Blue/Amber</t>
  </si>
  <si>
    <t>EMPSCG2SMS5BAW</t>
  </si>
  <si>
    <t>mpower® 4" 3-Wire Light w/ Screw Mount, for use with mpower Arrow Kit and Connect-n-Go, SAE Class 1 &amp; CA Title 13, 9-32 Vdc, Black Housing, 18 LED, Tricolor - Blue/Amber/White</t>
  </si>
  <si>
    <t>EMPSCG2SMS5RAW</t>
  </si>
  <si>
    <t>mpower® 4" 3-Wire Light w/ Screw Mount, for use with mpower Arrow Kit and Connect-n-Go, SAE Class 1 &amp; CA Title 13, 9-32 Vdc, Black Housing, 18 LED, Tricolor - Red/Amber/White</t>
  </si>
  <si>
    <t>EMPSCG2SMS5RBA</t>
  </si>
  <si>
    <t>mpower® 4" 3-Wire Light w/ Screw Mount, for use with mpower Arrow Kit and Connect-n-Go, SAE Class 1 &amp; CA Title 13, 9-32 Vdc, Black Housing, 18 LED, Tricolor - Red/Blue/Amber</t>
  </si>
  <si>
    <t>EMPSCG2SMS5RBW</t>
  </si>
  <si>
    <t>mpower® 4" 3-Wire Light w/ Screw Mount, for use with mpower Arrow Kit and Connect-n-Go, SAE Class 1 &amp; CA Title 13, 9-32 Vdc, Black Housing, 18 LED, Tricolor - Red/Blue/White</t>
  </si>
  <si>
    <t>EMPSCG2STS2A</t>
  </si>
  <si>
    <t>mpower® 4" 3-Wire Light w/ Stud Mount, for use with mpower Arrow Kit and Connect-n-Go, SAE Class 1 &amp; CA Title 13, 9-32 Vdc, Black Housing, 6 LED, Single Color - Amber</t>
  </si>
  <si>
    <t>EMPSCG2STS2B</t>
  </si>
  <si>
    <t>mpower® 4" 3-Wire Light w/ Stud Mount, for use with mpower Arrow Kit and Connect-n-Go, SAE Class 1 &amp; CA Title 13, 9-32 Vdc, Black Housing, 6 LED, Single Color - Blue</t>
  </si>
  <si>
    <t>EMPSCG2STS2R</t>
  </si>
  <si>
    <t>mpower® 4" 3-Wire Light w/ Stud Mount, for use with mpower Arrow Kit and Connect-n-Go, SAE Class 1 &amp; CA Title 13, 9-32 Vdc, Black Housing, 6 LED, Single Color - Red</t>
  </si>
  <si>
    <t>EMPSCG2STS2W</t>
  </si>
  <si>
    <t>mpower® 4" 3-Wire Light w/ Stud Mount, for use with mpower Arrow Kit and Connect-n-Go, SAE Class 1 &amp; CA Title 13, 9-32 Vdc, Black Housing, 6 LED, Single Color - White</t>
  </si>
  <si>
    <t>EMPSCG2STS3A</t>
  </si>
  <si>
    <t>mpower® 4" 3-Wire Light w/ Stud Mount, for use with mpower Arrow Kit and Connect-n-Go, SAE Class 1 &amp; CA Title 13, 9-32 Vdc, Black Housing, 8 LED, Single Color - Amber</t>
  </si>
  <si>
    <t>EMPSCG2STS3B</t>
  </si>
  <si>
    <t>mpower® 4" 3-Wire Light w/ Stud Mount, for use with mpower Arrow Kit and Connect-n-Go, SAE Class 1 &amp; CA Title 13, 9-32 Vdc, Black Housing, 8 LED, Single Color - Blue</t>
  </si>
  <si>
    <t>EMPSCG2STS3R</t>
  </si>
  <si>
    <t>mpower® 4" 3-Wire Light w/ Stud Mount, for use with mpower Arrow Kit and Connect-n-Go, SAE Class 1 &amp; CA Title 13, 9-32 Vdc, Black Housing, 8 LED, Single Color - Red</t>
  </si>
  <si>
    <t>EMPSCG2STS3W</t>
  </si>
  <si>
    <t>mpower® 4" 3-Wire Light w/ Stud Mount, for use with mpower Arrow Kit and Connect-n-Go, SAE Class 1 &amp; CA Title 13, 9-32 Vdc, Black Housing, 8 LED, Single Color - White</t>
  </si>
  <si>
    <t>EMPSCG2STS4D</t>
  </si>
  <si>
    <t>mpower® 4" 3-Wire Light w/ Stud Mount, for use with mpower Arrow Kit and Connect-n-Go, SAE Class 1 &amp; CA Title 13, 9-32 Vdc, Black Housing, 12 LED, Dual Color - Red/White</t>
  </si>
  <si>
    <t>EMPSCG2STS4E</t>
  </si>
  <si>
    <t>mpower® 4" 3-Wire Light w/ Stud Mount, for use with mpower Arrow Kit and Connect-n-Go, SAE Class 1 &amp; CA Title 13, 9-32 Vdc, Black Housing, 12 LED, Dual Color - Blue/White</t>
  </si>
  <si>
    <t>EMPSCG2STS4F</t>
  </si>
  <si>
    <t>mpower® 4" 3-Wire Light w/ Stud Mount, for use with mpower Arrow Kit and Connect-n-Go, SAE Class 1 &amp; CA Title 13, 9-32 Vdc, Black Housing, 12 LED, Dual Color - Amber/White</t>
  </si>
  <si>
    <t>EMPSCG2STS4J</t>
  </si>
  <si>
    <t>mpower® 4" 3-Wire Light w/ Stud Mount, for use with mpower Arrow Kit and Connect-n-Go, SAE Class 1 &amp; CA Title 13, 9-32 Vdc, Black Housing, 12 LED, Dual Color - Red/Blue</t>
  </si>
  <si>
    <t>EMPSCG2STS4K</t>
  </si>
  <si>
    <t>mpower® 4" 3-Wire Light w/ Stud Mount, for use with mpower Arrow Kit and Connect-n-Go, SAE Class 1 &amp; CA Title 13, 9-32 Vdc, Black Housing, 12 LED, Dual Color - Red/Amber</t>
  </si>
  <si>
    <t>EMPSCG2STS4M</t>
  </si>
  <si>
    <t>mpower® 4" 3-Wire Light w/ Stud Mount, for use with mpower Arrow Kit and Connect-n-Go, SAE Class 1 &amp; CA Title 13, 9-32 Vdc, Black Housing, 12 LED, Dual Color - Blue/Amber</t>
  </si>
  <si>
    <t>EMPSCG2STS5BAW</t>
  </si>
  <si>
    <t>mpower® 4" 3-Wire Light w/ Stud Mount, for use with mpower Arrow Kit and Connect-n-Go, SAE Class 1 &amp; CA Title 13, 9-32 Vdc, Black Housing, 18 LED, Tricolor - Blue/Amber/White</t>
  </si>
  <si>
    <t>EMPSCG2STS5RAW</t>
  </si>
  <si>
    <t>mpower® 4" 3-Wire Light w/ Stud Mount, for use with mpower Arrow Kit and Connect-n-Go, SAE Class 1 &amp; CA Title 13, 9-32 Vdc, Black Housing, 18 LED, Tricolor - Red/Amber/White</t>
  </si>
  <si>
    <t>EMPSCG2STS5RBA</t>
  </si>
  <si>
    <t>mpower® 4" 3-Wire Light w/ Stud Mount, for use with mpower Arrow Kit and Connect-n-Go, SAE Class 1 &amp; CA Title 13, 9-32 Vdc, Black Housing, 18 LED, Tricolor - Red/Blue/Amber</t>
  </si>
  <si>
    <t>EMPSCG2STS5RBW</t>
  </si>
  <si>
    <t>mpower® 4" 3-Wire Light w/ Stud Mount, for use with mpower Arrow Kit and Connect-n-Go, SAE Class 1 &amp; CA Title 13, 9-32 Vdc, Black Housing, 18 LED, Tricolor - Red/Blue/White</t>
  </si>
  <si>
    <t>EMPSCG4STS2A</t>
  </si>
  <si>
    <t>mpower® 4" 3-Wire HD Light w/ Stud Mount, for use with mpower Arrow Kit and Connect-n-Go, SAE Class 1 &amp; CA Title 13, 9-32 Vdc, Black Housing, 6 LED, Single Color - Amber</t>
  </si>
  <si>
    <t>EMPSCG4STS2B</t>
  </si>
  <si>
    <t>mpower® 4" 3-Wire HD Light w/ Stud Mount, for use with mpower Arrow Kit and Connect-n-Go, SAE Class 1 &amp; CA Title 13, 9-32 Vdc, Black Housing, 6 LED, Single Color - Blue</t>
  </si>
  <si>
    <t>EMPSCG4STS2R</t>
  </si>
  <si>
    <t>mpower® 4" 3-Wire HD Light w/ Stud Mount, for use with mpower Arrow Kit and Connect-n-Go, SAE Class 1 &amp; CA Title 13, 9-32 Vdc, 6 LED, Single Color - Red</t>
  </si>
  <si>
    <t>EMPSCG4STS2W</t>
  </si>
  <si>
    <t>mpower® 4" 3-Wire HD Light w/ Stud Mount, for use with mpower Arrow Kit and Connect-n-Go, SAE Class 1 &amp; CA Title 13, 9-32 Vdc, 6 LED, Single Color - White</t>
  </si>
  <si>
    <t>EMPSCG4STS3A</t>
  </si>
  <si>
    <t>mpower® 4" 3-Wire HD Light w/ Stud Mount, for use with mpower Arrow Kit and Connect-n-Go, SAE Class 1 &amp; CA Title 13, 9-32 Vdc, 8 LED, Single Color - Amber</t>
  </si>
  <si>
    <t>EMPSCG4STS3B</t>
  </si>
  <si>
    <t>mpower® 4" 3-Wire HD Light w/ Stud Mount, for use with mpower Arrow Kit and Connect-n-Go, SAE Class 1 &amp; CA Title 13, 9-32 Vdc, 8 LED, Single Color - Blue</t>
  </si>
  <si>
    <t>EMPSCG4STS3R</t>
  </si>
  <si>
    <t>mpower® 4" 3-Wire HD Light w/ Stud Mount, for use with mpower Arrow Kit and Connect-n-Go, SAE Class 1 &amp; CA Title 13, 9-32 Vdc, 8 LED, Single Color - Red</t>
  </si>
  <si>
    <t>EMPSCG4STS3W</t>
  </si>
  <si>
    <t>mpower® 4" 3-Wire HD Light w/ Stud Mount, for use with mpower Arrow Kit and Connect-n-Go, SAE Class 1 &amp; CA Title 13, 9-32 Vdc, 8 LED, Single Color - White</t>
  </si>
  <si>
    <t>EMPSCG4STS4D</t>
  </si>
  <si>
    <t>mpower® 4" 3-Wire HD Light w/ Stud Mount, for use with mpower Arrow Kit and Connect-n-Go, SAE Class 1 &amp; CA Title 13, 9-32 Vdc, 12 LED, Dual Color - Red/White</t>
  </si>
  <si>
    <t>EMPSCG4STS4E</t>
  </si>
  <si>
    <t>mpower® 4" 3-Wire HD Light w/ Stud Mount, for use with mpower Arrow Kit and Connect-n-Go, SAE Class 1 &amp; CA Title 13, 9-32 Vdc, 12 LED, Dual Color - Blue/White</t>
  </si>
  <si>
    <t>EMPSCG4STS4F</t>
  </si>
  <si>
    <t>mpower® 4" 3-Wire HD Light w/ Stud Mount, for use with mpower Arrow Kit and Connect-n-Go, SAE Class 1 &amp; CA Title 13, 9-32 Vdc, 12 LED, Dual Color - Amber/White</t>
  </si>
  <si>
    <t>EMPSCG4STS4J</t>
  </si>
  <si>
    <t>mpower® 4" 3-Wire HD Light w/ Stud Mount, for use with mpower Arrow Kit and Connect-n-Go, SAE Class 1 &amp; CA Title 13, 9-32 Vdc, 12 LED, Dual Color - Red/Blue</t>
  </si>
  <si>
    <t>EMPSCG4STS4K</t>
  </si>
  <si>
    <t>mpower® 4" 3-Wire HD Light w/ Stud Mount, for use with mpower Arrow Kit and Connect-n-Go, SAE Class 1 &amp; CA Title 13, 9-32 Vdc, 12 LED, Dual Color - Red/Amber</t>
  </si>
  <si>
    <t>EMPSCG4STS4M</t>
  </si>
  <si>
    <t>mpower® 4" 3-Wire HD Light w/ Stud Mount, for use with mpower Arrow Kit and Connect-n-Go, SAE Class 1 &amp; CA Title 13, 9-32 Vdc, 12 LED, Dual Color - Blue/Amber</t>
  </si>
  <si>
    <t>EMPSCG4STS5BAW</t>
  </si>
  <si>
    <t>mpower® 4" 3-Wire HD Light w/ Stud Mount, for use with mpower Arrow Kit and Connect-n-Go, SAE Class 1 &amp; CA Title 13, 9-32 Vdc, 18 LED, Tricolor - Blue/Amber/White</t>
  </si>
  <si>
    <t>EMPSCG4STS5RAW</t>
  </si>
  <si>
    <t>mpower® 4" 3-Wire HD Light w/ Stud Mount, for use with mpower Arrow Kit and Connect-n-Go, SAE Class 1 &amp; CA Title 13, 9-32 Vdc, 18 LED, Tricolor - Red/Amber/White</t>
  </si>
  <si>
    <t>EMPSCG4STS5RBA</t>
  </si>
  <si>
    <t>mpower® 4" 3-Wire HD Light w/ Stud Mount, for use with mpower Arrow Kit and Connect-n-Go, SAE Class 1 &amp; CA Title 13, 9-32 Vdc, 18 LED, Tricolor - Red/Blue/Amber</t>
  </si>
  <si>
    <t>EMPSCG4STS5RBW</t>
  </si>
  <si>
    <t>mpower® 4" 3-Wire HD Light w/ Stud Mount, for use with mpower Arrow Kit and Connect-n-Go, SAE Class 1 &amp; CA Title 13, 9-32 Vdc, 18 LED, Tricolor - Red/Blue/White</t>
  </si>
  <si>
    <t>ETRDMP001</t>
  </si>
  <si>
    <t>mpower® 4" 3-Wire Light w/ Stud Mount, for use with Rapid Deployment Vehicle Warning Kit Front Driver/Passenger ID #31, SAE Class 1 &amp; CA Title 13, 9-32 Vdc, Black Housing, 18 LED, Tricolor - Red/Blue/White</t>
  </si>
  <si>
    <t>ETRDMP002</t>
  </si>
  <si>
    <t>mpower® 4" 3-Wire Light w/ Stud Mount, for use with Rapid Deployment Vehicle Warning Kit Front Passenger /Rear Driver ID #32, SAE Class 1 &amp; CA Title 13, 9-32 Vdc, Black Housing, 18 LED, Tricolor - Red/Blue/White</t>
  </si>
  <si>
    <t>ETRDMP003</t>
  </si>
  <si>
    <t>mpower® 4" 3-Wire Light w/ Stud Mount, for use with Rapid Deployment Vehicle Warning Kit Front Driver /Rear Passenger ID #33, SAE Class 1 &amp; CA Title 13, 9-32 Vdc, Black Housing, 18 LED, Tricolor - Red/Blue/White</t>
  </si>
  <si>
    <t>EMPSA05BN-A</t>
  </si>
  <si>
    <t>mpower® Fascia 4x2 Light w/ Quick Mount, 18" 5-wire w/ sync option &amp; 1.5 Pigtail, SAE Class 1 &amp; CA Title 13, 9-32 Vdc, Black Housing, 12 LED, Single Color - Amber</t>
  </si>
  <si>
    <t>EMPSA05BN-B</t>
  </si>
  <si>
    <t>mpower® Fascia 4x2 Light w/ Quick Mount, 18" 5-wire w/ sync option &amp; 1.5 Pigtail, SAE Class 1 &amp; CA Title 13, 9-32 Vdc, Black Housing, 12 LED, Single Color - Blue</t>
  </si>
  <si>
    <t>EMPSA05BN-R</t>
  </si>
  <si>
    <t>mpower® Fascia 4x2 Light w/ Quick Mount, 18" 5-wire w/ sync option &amp; 1.5 Pigtail, SAE Class 1 &amp; CA Title 13, 9-32 Vdc, Black Housing, 12 LED, Single Color - Red</t>
  </si>
  <si>
    <t>EMPSA05BN-W</t>
  </si>
  <si>
    <t>mpower® Fascia 4x2 Light w/ Quick Mount, 18" 5-wire w/ sync option &amp; 1.5 Pigtail, SAE Class 1 &amp; CA Title 13, 9-32 Vdc, Black Housing, 12 LED, Single Color - White</t>
  </si>
  <si>
    <t>EMPSA05BS-A</t>
  </si>
  <si>
    <t>mpower® Fascia 4x2 Light w/ Quick Mount, 18" 5-wire w/ sync option &amp; 1.5 Pigtail, SAE Class 1 &amp; CA Title 13, 9-32 Vdc, Black Housing, 16 LED, Single Color - Amber</t>
  </si>
  <si>
    <t>EMPSA05BS-B</t>
  </si>
  <si>
    <t>mpower® Fascia 4x2 Light w/ Quick Mount, 18" 5-wire w/ sync option &amp; 1.5 Pigtail, SAE Class 1 &amp; CA Title 13, 9-32 Vdc, Black Housing, 16 LED, Single Color - Blue</t>
  </si>
  <si>
    <t>EMPSA05BS-R</t>
  </si>
  <si>
    <t>mpower® Fascia 4x2 Light w/ Quick Mount, 18" 5-wire w/ sync option &amp; 1.5 Pigtail, SAE Class 1 &amp; CA Title 13, 9-32 Vdc, Black Housing, 16 LED, Single Color - Red</t>
  </si>
  <si>
    <t>EMPSA05BS-W</t>
  </si>
  <si>
    <t>mpower® Fascia 4x2 Light w/ Quick Mount, 18" 5-wire w/ sync option &amp; 1.5 Pigtail, SAE Class 1 &amp; CA Title 13, 9-32 Vdc, Black Housing, 16 LED, Single Color - White</t>
  </si>
  <si>
    <t>EMPSA05BW-A</t>
  </si>
  <si>
    <t>mpower® Fascia 4x2 Light w/ Screw Mount, 18" 5-wire w/ sync option &amp; 1.5 Pigtail, SAE Class 1 &amp; CA Title 13, 9-32 Vdc, Black Housing, 12 LED, Single Color - Amber</t>
  </si>
  <si>
    <t>EMPSA05BW-B</t>
  </si>
  <si>
    <t>mpower® Fascia 4x2 Light w/ Screw Mount, 18" 5-wire w/ sync option &amp; 1.5 Pigtail, SAE Class 1 &amp; CA Title 13, 9-32 Vdc, Black Housing, 12 LED, Single Color - Blue</t>
  </si>
  <si>
    <t>EMPSA05BW-R</t>
  </si>
  <si>
    <t>mpower® Fascia 4x2 Light w/ Screw Mount, 18" 5-wire w/ sync option &amp; 1.5 Pigtail, SAE Class 1 &amp; CA Title 13, 9-32 Vdc, Black Housing, 12 LED, Single Color - Red</t>
  </si>
  <si>
    <t>EMPSA05BW-W</t>
  </si>
  <si>
    <t>mpower® Fascia 4x2 Light w/ Screw Mount, 18" 5-wire w/ sync option &amp; 1.5 Pigtail, SAE Class 1 &amp; CA Title 13, 9-32 Vdc, Black Housing, 12 LED, Single Color - White</t>
  </si>
  <si>
    <t>EMPSA05BX-A</t>
  </si>
  <si>
    <t>mpower® Fascia 4x2 Light w/ Screw Mount, 18" 5-wire w/ sync option &amp; 1.5 Pigtail, SAE Class 1 &amp; CA Title 13, 9-32 Vdc, Black Housing, 16 LED, Single Color - Amber</t>
  </si>
  <si>
    <t>EMPSA05BX-B</t>
  </si>
  <si>
    <t>mpower® Fascia 4x2 Light w/ Screw Mount, 18" 5-wire w/ sync option &amp; 1.5 Pigtail, SAE Class 1 &amp; CA Title 13, 9-32 Vdc, Black Housing, 16 LED, Single Color - Blue</t>
  </si>
  <si>
    <t>EMPSA05BX-R</t>
  </si>
  <si>
    <t>mpower® Fascia 4x2 Light w/ Screw Mount, 18" 5-wire w/ sync option &amp; 1.5 Pigtail, SAE Class 1 &amp; CA Title 13, 9-32 Vdc, Black Housing, 16 LED, Single Color - Red</t>
  </si>
  <si>
    <t>EMPSA05BX-W</t>
  </si>
  <si>
    <t>mpower® Fascia 4x2 Light w/ Screw Mount, 18" 5-wire w/ sync option &amp; 1.5 Pigtail, SAE Class 1 &amp; CA Title 13, 9-32 Vdc, Black Housing, 16 LED, Single Color - White</t>
  </si>
  <si>
    <t>EMPSA05C0-A</t>
  </si>
  <si>
    <t>mpower® Fascia 4x2 Light w/ Stud Mount, 18" 5-wire w/ sync option &amp; 1.5 Pigtail, SAE Class 1 &amp; CA Title 13, 9-32 Vdc, Black Housing, 12 LED, Single Color - Amber</t>
  </si>
  <si>
    <t>EMPSA05C0-B</t>
  </si>
  <si>
    <t>mpower® Fascia 4x2 Light w/ Stud Mount, 18" 5-wire w/ sync option &amp; 1.5 Pigtail, SAE Class 1 &amp; CA Title 13, 9-32 Vdc, Black Housing, 12 LED, Single Color - Blue</t>
  </si>
  <si>
    <t>EMPSA05C0-R</t>
  </si>
  <si>
    <t>mpower® Fascia 4x2 Light w/ Stud Mount, 18" 5-wire w/ sync option &amp; 1.5 Pigtail, SAE Class 1 &amp; CA Title 13, 9-32 Vdc, Black Housing, 12 LED, Single Color - Red</t>
  </si>
  <si>
    <t>EMPSA05C0-W</t>
  </si>
  <si>
    <t>mpower® Fascia 4x2 Light w/ Stud Mount, 18" 5-wire w/ sync option &amp; 1.5 Pigtail, SAE Class 1 &amp; CA Title 13, 9-32 Vdc, Black Housing, 12 LED, Single Color - White</t>
  </si>
  <si>
    <t>EMPSA05C1-A</t>
  </si>
  <si>
    <t>mpower® Fascia 4x2 Light w/ Stud Mount, 18" 5-wire w/ sync option &amp; 1.5 Pigtail, SAE Class 1 &amp; CA Title 13, 9-32 Vdc, Black Housing, 16 LED, Single Color - Amber</t>
  </si>
  <si>
    <t>EMPSA05C1-B</t>
  </si>
  <si>
    <t>mpower® Fascia 4x2 Light w/ Stud Mount, 18" 5-wire w/ sync option &amp; 1.5 Pigtail, SAE Class 1 &amp; CA Title 13, 9-32 Vdc, Black Housing, 16 LED, Single Color - Blue</t>
  </si>
  <si>
    <t>EMPSA05C1-R</t>
  </si>
  <si>
    <t>mpower® Fascia 4x2 Light w/ Stud Mount, 18" 5-wire w/ sync option &amp; 1.5 Pigtail, SAE Class 1 &amp; CA Title 13, 9-32 Vdc, Black Housing, 16 LED, Single Color - Red</t>
  </si>
  <si>
    <t>EMPSA05C1-W</t>
  </si>
  <si>
    <t>mpower® Fascia 4x2 Light w/ Stud Mount, 18" 5-wire w/ sync option &amp; 1.5 Pigtail, SAE Class 1 &amp; CA Title 13, 9-32 Vdc, Black Housing, 16 LED, Single Color - White</t>
  </si>
  <si>
    <t>EMPR10004-WW</t>
  </si>
  <si>
    <t>mpower® HP 2x1 Light includes (2) 2x1 lights, (2) U- Shaped Brackets w/ mounting hardware - White LEDs</t>
  </si>
  <si>
    <t>EMPR10037-WW</t>
  </si>
  <si>
    <t>mpower® HP 2x1 Dual Stacked Light Kit, includes (4) 2x1 lights, (2) U- Shaped Brackets w/ Dual Stacked mounting hardware - White LEDs</t>
  </si>
  <si>
    <t>RTL-ETCLNT001</t>
  </si>
  <si>
    <t>mpower® Interior Chase Light, Two Light Housings</t>
  </si>
  <si>
    <t>RTL-ETCLNT002</t>
  </si>
  <si>
    <t>mpower® Interior Chase Light, One Light Housings</t>
  </si>
  <si>
    <t>RTL-EMPR10034-WW</t>
  </si>
  <si>
    <t>mpower® ORV 2x1 Dual Stack Light Kit</t>
  </si>
  <si>
    <t>EMPS1QMS1A</t>
  </si>
  <si>
    <t>mpower® 3" Fascia Light w/ Quick Mount, 18" hard wire w/ sync option, SAE Class 1 &amp; CA Title 13, 9-32 Vdc, Black Housing, 4 LED, Single Color - Amber</t>
  </si>
  <si>
    <t>EMPS1QMS1B</t>
  </si>
  <si>
    <t>mpower® 3" Fascia Light w/ Quick Mount, 18" hard wire w/ sync option, SAE Class 1 &amp; CA Title 13, 9-32 Vdc, Black Housing, 4 LED, Single Color - Blue</t>
  </si>
  <si>
    <t>EMPS1QMS1R</t>
  </si>
  <si>
    <t>mpower® 3" Fascia Light w/ Quick Mount, 18" hard wire w/ sync option, SAE Class 1 &amp; CA Title 13, 9-32 Vdc, Black Housing, 4 LED, Single Color - Red</t>
  </si>
  <si>
    <t>EMPS1QMS1W</t>
  </si>
  <si>
    <t>mpower® 3" Fascia Light w/ Quick Mount, 18" hard wire w/ sync option, SAE Class 1 &amp; CA Title 13, 9-32 Vdc, Black Housing, 4 LED, Single Color - White</t>
  </si>
  <si>
    <t>EMPS1QMS3A</t>
  </si>
  <si>
    <t>mpower® 3" Fascia Light w/ Quick Mount, 18" hard wire w/ sync option, SAE Class 1 &amp; CA Title 13, 9-32 Vdc, Black Housing, 8 LED, Single Color - Amber</t>
  </si>
  <si>
    <t>EMPS1QMS3B</t>
  </si>
  <si>
    <t>mpower® 3" Fascia Light w/ Quick Mount, 18" hard wire w/ sync option, SAE Class 1 &amp; CA Title 13, 9-32 Vdc, Black Housing, 8 LED, Single Color - Blue</t>
  </si>
  <si>
    <t>EMPS1QMS3R</t>
  </si>
  <si>
    <t>mpower® 3" Fascia Light w/ Quick Mount, 18" hard wire w/ sync option, SAE Class 1 &amp; CA Title 13, 9-32 Vdc, Black Housing, 8 LED, Single Color - Red</t>
  </si>
  <si>
    <t>EMPS1QMS3W</t>
  </si>
  <si>
    <t>mpower® 3" Fascia Light w/ Quick Mount, 18" hard wire w/ sync option, SAE Class 1 &amp; CA Title 13, 9-32 Vdc, Black Housing, 8 LED, Single Color - White</t>
  </si>
  <si>
    <t>EMPS1SLS1A</t>
  </si>
  <si>
    <t>mpower® 3" Fascia Light w/ Stud Mount, 18" hard wire w/ sync option, SAE Class 1 &amp; CA Title 13, 9-32 Vdc, Black Housing, 4 LED, Single Color - Amber</t>
  </si>
  <si>
    <t>EMPS1SLS1B</t>
  </si>
  <si>
    <t>mpower® 3" Fascia Light w/ Stud Mount, 18" hard wire w/ sync option, SAE Class 1 &amp; CA Title 13, 9-32 Vdc, Black Housing, 4 LED, Single Color - Blue</t>
  </si>
  <si>
    <t>EMPS1SLS1R</t>
  </si>
  <si>
    <t>mpower® 3" Fascia Light w/ Stud Mount, 18" hard wire w/ sync option, SAE Class 1 &amp; CA Title 13, 9-32 Vdc, Black Housing, 4 LED, Single Color - Red</t>
  </si>
  <si>
    <t>EMPS1SLS1W</t>
  </si>
  <si>
    <t>mpower® 3" Fascia Light w/ Stud Mount, 18" hard wire w/ sync option, SAE Class 1 &amp; CA Title 13, 9-32 Vdc, Black Housing, 4 LED, Single Color - White</t>
  </si>
  <si>
    <t>EMPS1SLS3A</t>
  </si>
  <si>
    <t>mpower® 3" Fascia Light w/ Stud Mount, 18" hard wire w/ sync option, SAE Class 1 &amp; CA Title 13, 9-32 Vdc, Black Housing, 8 LED, Single Color - Amber</t>
  </si>
  <si>
    <t>EMPS1SLS3B</t>
  </si>
  <si>
    <t>mpower® 3" Fascia Light w/ Stud Mount, 18" hard wire w/ sync option, SAE Class 1 &amp; CA Title 13, 9-32 Vdc, Black Housing, 8 LED, Single Color - Blue</t>
  </si>
  <si>
    <t>EMPS1SLS3R</t>
  </si>
  <si>
    <t>mpower® 3" Fascia Light w/ Stud Mount, 18" hard wire w/ sync option, SAE Class 1 &amp; CA Title 13, 9-32 Vdc, Black Housing, 8 LED, Single Color - Red</t>
  </si>
  <si>
    <t>EMPS1SLS3W</t>
  </si>
  <si>
    <t>mpower® 3" Fascia Light w/ Stud Mount, 18" hard wire w/ sync option, SAE Class 1 &amp; CA Title 13, 9-32 Vdc, Black Housing, 8 LED, Single Color - White</t>
  </si>
  <si>
    <t>EMPS1SMS1A</t>
  </si>
  <si>
    <t>mpower® 3" Fascia Light w/ Screw Mount, 18" hard wire w/ sync option, SAE Class 1 &amp; CA Title 13, 9-32 Vdc, Black Housing, 4 LED, Single Color - Amber</t>
  </si>
  <si>
    <t>EMPS1SMS1B</t>
  </si>
  <si>
    <t>mpower® 3" Fascia Light w/ Screw Mount, 18" hard wire w/ sync option, SAE Class 1 &amp; CA Title 13, 9-32 Vdc, Black Housing, 4 LED, Single Color - Blue</t>
  </si>
  <si>
    <t>EMPS1SMS1R</t>
  </si>
  <si>
    <t>mpower® 3" Fascia Light w/ Screw Mount, 18" hard wire w/ sync option, SAE Class 1 &amp; CA Title 13, 9-32 Vdc, Black Housing, 4 LED, Single Color - Red</t>
  </si>
  <si>
    <t>EMPS1SMS1W</t>
  </si>
  <si>
    <t>mpower® 3" Fascia Light w/ Screw Mount, 18" hard wire w/ sync option, SAE Class 1 &amp; CA Title 13, 9-32 Vdc, Black Housing, 4 LED, Single Color - White</t>
  </si>
  <si>
    <t>EMPS1SMS3A</t>
  </si>
  <si>
    <t>mpower® 3" Fascia Light w/ Screw Mount, 18" hard wire w/ sync option, SAE Class 1 &amp; CA Title 13, 9-32 Vdc, Black Housing, 8 LED, Single Color - Amber</t>
  </si>
  <si>
    <t>EMPS1SMS3B</t>
  </si>
  <si>
    <t>mpower® 3" Fascia Light w/ Screw Mount, 18" hard wire w/ sync option, SAE Class 1 &amp; CA Title 13, 9-32 Vdc, Black Housing, 8 LED, Single Color - Blue</t>
  </si>
  <si>
    <t>EMPS1SMS3R</t>
  </si>
  <si>
    <t>mpower® 3" Fascia Light w/ Screw Mount, 18" hard wire w/ sync option, SAE Class 1 &amp; CA Title 13, 9-32 Vdc, Black Housing, 8 LED, Single Color - Red</t>
  </si>
  <si>
    <t>EMPS1SMS3W</t>
  </si>
  <si>
    <t>mpower® 3" Fascia Light w/ Screw Mount, 18" hard wire w/ sync option, SAE Class 1 &amp; CA Title 13, 9-32 Vdc, Black Housing, 8 LED, Single Color - White</t>
  </si>
  <si>
    <t>EMPS1STS1A</t>
  </si>
  <si>
    <t>mpower® 3" Grille Stud Mount Fascia Light for Grille Mount application, 18" hard wire w/ sync option, SAE Class 1 &amp; CA Title 13, 9-32 Vdc, Black Housing, 4 LED, Single Color - Amber</t>
  </si>
  <si>
    <t>EMPS1STS1B</t>
  </si>
  <si>
    <t>mpower® 3" Grille Stud Mount Fascia Light for Grille Mount application, 18" hard wire w/ sync option, SAE Class 1 &amp; CA Title 13, 9-32 Vdc, Black Housing, 4 LED, Single Color - Blue</t>
  </si>
  <si>
    <t>EMPS1STS1R</t>
  </si>
  <si>
    <t>mpower® 3" Grille Stud Mount Fascia Light for Grille Mount application, 18" hard wire w/ sync option, SAE Class 1 &amp; CA Title 13, 9-32 Vdc, Black Housing, 4 LED, Single Color - Red</t>
  </si>
  <si>
    <t>EMPS1STS1W</t>
  </si>
  <si>
    <t>mpower® 3" Grille Stud Mount Fascia Light for Grille Mount application, 18" hard wire w/ sync option, SAE Class 1 &amp; CA Title 13, 9-32 Vdc, Black Housing, 4 LED, Single Color - White</t>
  </si>
  <si>
    <t>EMPS1STS3A</t>
  </si>
  <si>
    <t>mpower® 3" Grille Stud Mount Fascia Light for Grille Mount application, 18" hard wire w/ sync option, SAE Class 1 &amp; CA Title 13, 9-32 Vdc, Black Housing, 8 LED, Single Color - Amber</t>
  </si>
  <si>
    <t>EMPS1STS3B</t>
  </si>
  <si>
    <t>mpower® 3" Grille Stud Mount Fascia Light for Grille Mount application, 18" hard wire w/ sync option, SAE Class 1 &amp; CA Title 13, 9-32 Vdc, Black Housing, 8 LED, Single Color - Blue</t>
  </si>
  <si>
    <t>EMPS1STS3R</t>
  </si>
  <si>
    <t>mpower® 3" Grille Stud Mount Fascia Light for Grille Mount application, 18" hard wire w/ sync option, SAE Class 1 &amp; CA Title 13, 9-32 Vdc, Black Housing, 8 LED, Single Color - Red</t>
  </si>
  <si>
    <t>EMPS1STS3W</t>
  </si>
  <si>
    <t>mpower® 3" Grille Stud Mount Fascia Light for Grille Mount application, 18" hard wire w/ sync option, SAE Class 1 &amp; CA Title 13, 9-32 Vdc, Black Housing, 8 LED, Single Color - White</t>
  </si>
  <si>
    <t>EMPS21GPS-A</t>
  </si>
  <si>
    <t>mpower® 4" Fascia Light, Quick Mount, 1.5' Pigtail, Black Housing with Stealth Lens, 6 LED Single Color Amber</t>
  </si>
  <si>
    <t>EMPS21GPS-B</t>
  </si>
  <si>
    <t>mpower® 4" Fascia Light, Quick Mount, 1.5' Pigtail, Black Housing with Stealth Lens, 6 LED Single Color Blue</t>
  </si>
  <si>
    <t>EMPS21GPS-R</t>
  </si>
  <si>
    <t>mpower® 4" Fascia Light, Quick Mount, 1.5' Pigtail, Black Housing with Stealth Lens, 6 LED Single Color Red</t>
  </si>
  <si>
    <t>EMPS21GPS-W</t>
  </si>
  <si>
    <t>mpower® 4" Fascia Light, Quick Mount, 1.5' Pigtail, Black Housing with Stealth Lens, 6 LED Single Color White</t>
  </si>
  <si>
    <t>EMPS21GPT-A</t>
  </si>
  <si>
    <t>mpower® 4" Fascia Light, Quick Mount, 1.5' Pigtail, Black Housing with Stealth Lens, 8 LED Single Color Amber</t>
  </si>
  <si>
    <t>EMPS21GPT-B</t>
  </si>
  <si>
    <t>mpower® 4" Fascia Light, Quick Mount, 1.5' Pigtail, Black Housing with Stealth Lens, 8 LED Single Color Blue</t>
  </si>
  <si>
    <t>EMPS21GPT-R</t>
  </si>
  <si>
    <t>mpower® 4" Fascia Light, Quick Mount, 1.5' Pigtail, Black Housing with Stealth Lens, 8 LED Single Color Red</t>
  </si>
  <si>
    <t>EMPS21GPT-W</t>
  </si>
  <si>
    <t>mpower® 4" Fascia Light, Quick Mount, 1.5' Pigtail, Black Housing with Stealth Lens, 8 LED Single Color White</t>
  </si>
  <si>
    <t>EMPS21GPU-D</t>
  </si>
  <si>
    <t>mpower® 4" Fascia Light, Quick Mount, 1.5' Pigtail, Black Housing with Stealth Lens, 12 LED Dual Color Red/White</t>
  </si>
  <si>
    <t>EMPS21GPU-E</t>
  </si>
  <si>
    <t>mpower® 4" Fascia Light, Quick Mount, 1.5' Pigtail, Black Housing with Stealth Lens, 12 LED Dual Color Blue/White</t>
  </si>
  <si>
    <t>EMPS21GPU-F</t>
  </si>
  <si>
    <t>mpower® 4" Fascia Light, Quick Mount, 1.5' Pigtail, Black Housing with Stealth Lens, 12 LED Dual Color Amber/White</t>
  </si>
  <si>
    <t>EMPS21GPU-J</t>
  </si>
  <si>
    <t>mpower® 4" Fascia Light, Quick Mount, 1.5' Pigtail, Black Housing with Stealth Lens, 12 LED Dual Color Red/Blue</t>
  </si>
  <si>
    <t>EMPS21GPV-6</t>
  </si>
  <si>
    <t>mpower® 4" Fascia Light, Quick Mount, 1.5' Pigtail, Black Housing with Stealth Lens, 18 LED Tricolor Red/Blue/Amber</t>
  </si>
  <si>
    <t>EMPS21GPV-8</t>
  </si>
  <si>
    <t>mpower® 4" Fascia Light, Quick Mount, 1.5' Pigtail, Black Housing with Stealth Lens, 18 LED Tricolor Red/Blue/White</t>
  </si>
  <si>
    <t>EMPS21GPW-A</t>
  </si>
  <si>
    <t>mpower® 4" Fascia Light, Screw Mount, 1.5' Pigtail, Black Housing with Stealth Lens, 6 LED Single Color Amber</t>
  </si>
  <si>
    <t>EMPS21GPW-B</t>
  </si>
  <si>
    <t>mpower® 4" Fascia Light, Screw Mount, 1.5' Pigtail, Black Housing with Stealth Lens, 6 LED Single Color Blue</t>
  </si>
  <si>
    <t>EMPS21GPW-R</t>
  </si>
  <si>
    <t>mpower® 4" Fascia Light, Screw Mount, 1.5' Pigtail, Black Housing with Stealth Lens, 6 LED Single Color Red</t>
  </si>
  <si>
    <t>EMPS21GPW-W</t>
  </si>
  <si>
    <t>mpower® 4" Fascia Light, Screw Mount, 1.5' Pigtail, Black Housing with Stealth Lens, 6 LED Single Color White</t>
  </si>
  <si>
    <t>EMPS21GPX-A</t>
  </si>
  <si>
    <t>mpower® 4" Fascia Light, Screw Mount, 1.5' Pigtail, Black Housing with Stealth Lens, 8 LED Single Color Amber</t>
  </si>
  <si>
    <t>EMPS21GPX-B</t>
  </si>
  <si>
    <t>mpower® 4" Fascia Light, Screw Mount, 1.5' Pigtail, Black Housing with Stealth Lens, 8 LED Single Color Blue</t>
  </si>
  <si>
    <t>EMPS21GPX-R</t>
  </si>
  <si>
    <t>mpower® 4" Fascia Light, Screw Mount, 1.5' Pigtail, Black Housing with Stealth Lens, 8 LED Single Color Red</t>
  </si>
  <si>
    <t>EMPS21GPX-W</t>
  </si>
  <si>
    <t>mpower® 4" Fascia Light, Screw Mount, 1.5' Pigtail, Black Housing with Stealth Lens, 8 LED Single Color White</t>
  </si>
  <si>
    <t>EMPS21GPY-D</t>
  </si>
  <si>
    <t>mpower® 4" Fascia Light, Screw Mount, 1.5' Pigtail, Black Housing with Stealth Lens, 12 LED Dual Color Red/White</t>
  </si>
  <si>
    <t>EMPS21GPY-E</t>
  </si>
  <si>
    <t>mpower® 4" Fascia Light, Screw Mount, 1.5' Pigtail, Black Housing with Stealth Lens, 12 LED Dual Color Blue/White</t>
  </si>
  <si>
    <t>EMPS21GPY-F</t>
  </si>
  <si>
    <t>mpower® 4" Fascia Light, Screw Mount, 1.5' Pigtail, Black Housing with Stealth Lens, 12 LED Dual Color Amber/White</t>
  </si>
  <si>
    <t>EMPS21GPY-J</t>
  </si>
  <si>
    <t>mpower® 4" Fascia Light, Screw Mount, 1.5' Pigtail, Black Housing with Stealth Lens, 12 LED Dual Color Red/Blue</t>
  </si>
  <si>
    <t>EMPS21GPZ-6</t>
  </si>
  <si>
    <t>mpower® 4" Fascia Light, Screw Mount, 1.5' Pigtail, Black Housing with Stealth Lens, 18 LED Tricolor Red/Blue/Amber</t>
  </si>
  <si>
    <t>EMPS21GPZ-8</t>
  </si>
  <si>
    <t>mpower® 4" Fascia Light, Screw Mount, 1.5' Pigtail, Black Housing with Stealth Lens, 18 LED Tricolor Red/Blue/White</t>
  </si>
  <si>
    <t>EMPS21GQ1-A</t>
  </si>
  <si>
    <t>mpower® 4" Fascia Light, Stud Mount, 1.5' Pigtail, Black Housing with Stealth Lens, 6 LED Single Color Amber</t>
  </si>
  <si>
    <t>EMPS21GQ1-B</t>
  </si>
  <si>
    <t>mpower® 4" Fascia Light, Stud Mount, 1.5' Pigtail, Black Housing with Stealth Lens, 6 LED Single Color Blue</t>
  </si>
  <si>
    <t>EMPS21GQ1-R</t>
  </si>
  <si>
    <t>mpower® 4" Fascia Light, Stud Mount, 1.5' Pigtail, Black Housing with Stealth Lens, 6 LED Single Color Red</t>
  </si>
  <si>
    <t>EMPS21GQ1-W</t>
  </si>
  <si>
    <t>mpower® 4" Fascia Light, Stud Mount, 1.5' Pigtail, Black Housing with Stealth Lens, 6 LED Single Color White</t>
  </si>
  <si>
    <t>EMPS21GQ2-A</t>
  </si>
  <si>
    <t>mpower® 4" Fascia Light, Stud Mount, 1.5' Pigtail, Black Housing with Stealth Lens, 8 LED Single Color Amber</t>
  </si>
  <si>
    <t>EMPS21GQ2-B</t>
  </si>
  <si>
    <t>mpower® 4" Fascia Light, Stud Mount, 1.5' Pigtail, Black Housing with Stealth Lens, 8 LED Single Color Blue</t>
  </si>
  <si>
    <t>EMPS21GQ2-R</t>
  </si>
  <si>
    <t>mpower® 4" Fascia Light, Stud Mount, 1.5' Pigtail, Black Housing with Stealth Lens, 8 LED Single Color Red</t>
  </si>
  <si>
    <t>EMPS21GQ2-W</t>
  </si>
  <si>
    <t>mpower® 4" Fascia Light, Stud Mount, 1.5' Pigtail, Black Housing with Stealth Lens, 8 LED Single Color White</t>
  </si>
  <si>
    <t>EMPS21GQ3-D</t>
  </si>
  <si>
    <t>mpower® 4" Fascia Light, Stud Mount, 1.5' Pigtail, Black Housing with Stealth Lens, 12 LED Dual Color Red/White</t>
  </si>
  <si>
    <t>EMPS21GQ3-E</t>
  </si>
  <si>
    <t>mpower® 4" Fascia Light, Stud Mount, 1.5' Pigtail, Black Housing with Stealth Lens, 12 LED Dual Color Blue/White</t>
  </si>
  <si>
    <t>EMPS21GQ3-F</t>
  </si>
  <si>
    <t>mpower® 4" Fascia Light, Stud Mount, 1.5' Pigtail, Black Housing with Stealth Lens, 12 LED Dual Color Amber/White</t>
  </si>
  <si>
    <t>EMPS21GQ3-J</t>
  </si>
  <si>
    <t>mpower® 4" Fascia Light, Stud Mount, 1.5' Pigtail, Black Housing with Stealth Lens, 12 LED Dual Color Red/Blue</t>
  </si>
  <si>
    <t>EMPS21GQ4-6</t>
  </si>
  <si>
    <t>mpower® 4" Fascia Light, Stud Mount, 1.5' Pigtail, Black Housing with Stealth Lens, 18 LED Tricolor Red/Blue/Amber</t>
  </si>
  <si>
    <t>EMPS21GQ4-8</t>
  </si>
  <si>
    <t>mpower® 4" Fascia Light, Stud Mount, 1.5' Pigtail, Black Housing with Stealth Lens, 18 LED Tricolor Red/Blue/White</t>
  </si>
  <si>
    <t>EMPS2QMS2A</t>
  </si>
  <si>
    <t>mpower® 4" Fascia Light w/ Quick Mount, 18" hard wire w/ sync option, SAE Class 1 &amp; CA Title 13, 9-32 Vdc, Black Housing, 6 LED, Single Color - Amber</t>
  </si>
  <si>
    <t>EMPS2QMS2B</t>
  </si>
  <si>
    <t>mpower® 4" Fascia Light w/ Quick Mount, 18" hard wire w/ sync option, SAE Class 1 &amp; CA Title 13, 9-32 Vdc, Black Housing, 6 LED, Single Color - Blue</t>
  </si>
  <si>
    <t>EMPS2QMS2R</t>
  </si>
  <si>
    <t>mpower® 4" Fascia Light w/ Quick Mount, 18" hard wire w/ sync option, SAE Class 1 &amp; CA Title 13, 9-32 Vdc, Black Housing, 6 LED, Single Color - Red</t>
  </si>
  <si>
    <t>EMPS2QMS2W</t>
  </si>
  <si>
    <t>mpower® 4" Fascia Light w/ Quick Mount, 18" hard wire w/ sync option, SAE Class 1 &amp; CA Title 13, 9-32 Vdc, Black Housing, 6 LED, Single Color - White</t>
  </si>
  <si>
    <t>EMPS2QMS3A</t>
  </si>
  <si>
    <t>mpower® 4" Fascia Light w/ Quick Mount, 18" hard wire w/ sync option, SAE Class 1 &amp; CA Title 13, 9-32 Vdc, Black Housing, 8 LED, Single Color - Amber</t>
  </si>
  <si>
    <t>EMPS2QMS3B</t>
  </si>
  <si>
    <t>mpower® 4" Fascia Light w/ Quick Mount, 18" hard wire w/ sync option, SAE Class 1 &amp; CA Title 13, 9-32 Vdc, Black Housing, 8 LED, Single Color - Blue</t>
  </si>
  <si>
    <t>EMPS2QMS3R</t>
  </si>
  <si>
    <t>mpower® 4" Fascia Light w/ Quick Mount, 18" hard wire w/ sync option, SAE Class 1 &amp; CA Title 13, 9-32 Vdc, Black Housing, 8 LED, Single Color - Red</t>
  </si>
  <si>
    <t>EMPS2QMS3W</t>
  </si>
  <si>
    <t>mpower® 4" Fascia Light w/ Quick Mount, 18" hard wire w/ sync option, SAE Class 1 &amp; CA Title 13, 9-32 Vdc, Black Housing, 8 LED, Single Color - White</t>
  </si>
  <si>
    <t>EMPS2SMS2A</t>
  </si>
  <si>
    <t>mpower® 4" Fascia Light w/ Screw Mount, 18" hard wire w/ sync option, SAE Class 1 &amp; CA Title 13, 9-32 Vdc, Black Housing, 6 LED, Single Color - Amber</t>
  </si>
  <si>
    <t>EMPS2SMS2B</t>
  </si>
  <si>
    <t>mpower® 4" Fascia Light w/ Screw Mount, 18" hard wire w/ sync option, SAE Class 1 &amp; CA Title 13, 9-32 Vdc, Black Housing, 6 LED, Single Color - Blue</t>
  </si>
  <si>
    <t>EMPS2SMS2R</t>
  </si>
  <si>
    <t>mpower® 4" Fascia Light w/ Screw Mount, 18" hard wire w/ sync option, SAE Class 1 &amp; CA Title 13, 9-32 Vdc, Black Housing, 6 LED, Single Color - Red</t>
  </si>
  <si>
    <t>EMPS2SMS2W</t>
  </si>
  <si>
    <t>mpower® 4" Fascia Light w/ Screw Mount, 18" hard wire w/ sync option, SAE Class 1 &amp; CA Title 13, 9-32 Vdc, Black Housing, 6 LED, Single Color - White</t>
  </si>
  <si>
    <t>EMPS2SMS3A</t>
  </si>
  <si>
    <t>mpower® 4" Fascia Light w/ Screw Mount, 18" hard wire w/ sync option, SAE Class 1 &amp; CA Title 13, 9-32 Vdc, Black Housing, 8 LED, Single Color - Amber</t>
  </si>
  <si>
    <t>EMPS2SMS3B</t>
  </si>
  <si>
    <t>mpower® 4" Fascia Light w/ Screw Mount, 18" hard wire w/ sync option, SAE Class 1 &amp; CA Title 13, 9-32 Vdc, Black Housing, 8 LED, Single Color - Blue</t>
  </si>
  <si>
    <t>EMPS2SMS3R</t>
  </si>
  <si>
    <t>mpower® 4" Fascia Light w/ Screw Mount, 18" hard wire w/ sync option, SAE Class 1 &amp; CA Title 13, 9-32 Vdc, Black Housing, 8 LED, Single Color - Red</t>
  </si>
  <si>
    <t>EMPS2SMS3W</t>
  </si>
  <si>
    <t>mpower® 4" Fascia Light w/ Screw Mount, 18" hard wire w/ sync option, SAE Class 1 &amp; CA Title 13, 9-32 Vdc, Black Housing, 8 LED, Single Color - White</t>
  </si>
  <si>
    <t>EMPS2STS2A</t>
  </si>
  <si>
    <t>mpower® 4" Fascia Light w/ Stud Mount, 18" hard wire w/ sync option, SAE Class 1 &amp; CA Title 13, 9-32 Vdc, Black Housing, 6 LED, Single Color - Amber</t>
  </si>
  <si>
    <t>EMPS2STS2B</t>
  </si>
  <si>
    <t>mpower® 4" Fascia Light w/ Stud Mount, 18" hard wire w/ sync option, SAE Class 1 &amp; CA Title 13, 9-32 Vdc, Black Housing, 6 LED, Single Color - Blue</t>
  </si>
  <si>
    <t>EMPS2STS2R</t>
  </si>
  <si>
    <t>mpower® 4" Fascia Light w/ Stud Mount, 18" hard wire w/ sync option, SAE Class 1 &amp; CA Title 13, 9-32 Vdc, Black Housing, 6 LED, Single Color - Red</t>
  </si>
  <si>
    <t>EMPS2STS2W</t>
  </si>
  <si>
    <t>mpower® 4" Fascia Light w/ Stud Mount, 18" hard wire w/ sync option, SAE Class 1 &amp; CA Title 13, 9-32 Vdc, Black Housing, 6 LED, Single Color - White</t>
  </si>
  <si>
    <t>EMPS2STS3A</t>
  </si>
  <si>
    <t>mpower® 4" Fascia Light w/ Stud Mount, 18" hard wire w/ sync option, SAE Class 1 &amp; CA Title 13, 9-32 Vdc, Black Housing, 8 LED, Single Color - Amber</t>
  </si>
  <si>
    <t>EMPS2STS3B</t>
  </si>
  <si>
    <t>mpower® 4" Fascia Light w/ Stud Mount, 18" hard wire w/ sync option, SAE Class 1 &amp; CA Title 13, 9-32 Vdc, Black Housing, 8 LED, Single Color - Blue</t>
  </si>
  <si>
    <t>EMPS2STS3R</t>
  </si>
  <si>
    <t>mpower® 4" Fascia Light w/ Stud Mount, 18" hard wire w/ sync option, SAE Class 1 &amp; CA Title 13, 9-32 Vdc, Black Housing, 8 LED, Single Color - Red</t>
  </si>
  <si>
    <t>EMPS2STS3W</t>
  </si>
  <si>
    <t>mpower® 4" Fascia Light w/ Stud Mount, 18" hard wire w/ sync option, SAE Class 1 &amp; CA Title 13, 9-32 Vdc, Black Housing, 8 LED, Single Color - White</t>
  </si>
  <si>
    <t>EMPS4STS2A</t>
  </si>
  <si>
    <t>mpower® HD 4" Light, 18" hard wire w/ sync option, SAE Class 1 &amp; CA Title 13, 9-32 Vdc, Clear Lens, 6 LED, Single Color - Amber</t>
  </si>
  <si>
    <t>EMPS4STS2B</t>
  </si>
  <si>
    <t>mpower® HD 4" Light, 18" hard wire w/ sync option, SAE Class 1 &amp; CA Title 13, 9-32 Vdc, Clear Lens, 6 LED, Single Color - Blue</t>
  </si>
  <si>
    <t>EMPS4STS2R</t>
  </si>
  <si>
    <t>mpower® HD 4" Light, 18" hard wire w/ sync option, SAE Class 1 &amp; CA Title 13, 9-32 Vdc, 6 LED, Single Color - Red</t>
  </si>
  <si>
    <t>EMPS4STS2W</t>
  </si>
  <si>
    <t>mpower® HD 4" Light, 18" hard wire w/ sync option, SAE Class 1 &amp; CA Title 13, 9-32 Vdc, Clear Lens, 6 LED, Single Color - White</t>
  </si>
  <si>
    <t>EMPS4STS3A</t>
  </si>
  <si>
    <t>mpower® HD 4" Light, 18" hard wire w/ sync option, SAE Class 1 &amp; CA Title 13, 9-32 Vdc, Clear Lens, 8 LED, Single Color - Amber</t>
  </si>
  <si>
    <t>EMPS4STS3B</t>
  </si>
  <si>
    <t>mpower® HD 4" Light, 18" hard wire w/ sync option, SAE Class 1 &amp; CA Title 13, 9-32 Vdc, Clear Lens, 8 LED, Single Color - Blue</t>
  </si>
  <si>
    <t>EMPS4STS3R</t>
  </si>
  <si>
    <t>mpower® HD 4" Light, 18" hard wire w/ sync option, SAE Class 1 &amp; CA Title 13, 9-32 Vdc, Clear Lens, 8 LED, Single Color - Red</t>
  </si>
  <si>
    <t>EMPS4STS3W</t>
  </si>
  <si>
    <t>mpower® HD 4" Light, 18" hard wire w/ sync option, SAE Class 1 &amp; CA Title 13, 9-32 Vdc, Clear Lens, 8 LED, Single Color - White</t>
  </si>
  <si>
    <t>EMPS4STS5RBA</t>
  </si>
  <si>
    <t>mpower® HD 4" Light, 18" hard wire w/ sync option, SAE Class 1 &amp; CA Title 13, 9-32 Vdc, Clear Lens, 18 LED, Tricolor - Red/Blue/Amber</t>
  </si>
  <si>
    <t>EMPS4STS5RBW</t>
  </si>
  <si>
    <t>mpower® HD 4" Light, 18" hard wire w/ sync option, SAE Class 1 &amp; CA Title 13, 9-32 Vdc, Clear Lens, 18 LED, Tricolor - Red/Blue/White</t>
  </si>
  <si>
    <t>EMPR20013-W</t>
  </si>
  <si>
    <t>mpower® HP 6x1 Light includes (1) Light, (1) U- Shaped bracket with mounting hardware - White LEDs</t>
  </si>
  <si>
    <t>RTL-EMPR20036-WW</t>
  </si>
  <si>
    <t>mpower® ORV 6x1 Light Kit</t>
  </si>
  <si>
    <t>RTL-EMPR20040-WW</t>
  </si>
  <si>
    <t>mpower® ORV 6x1 Silicone Light Kit with vehicle harness</t>
  </si>
  <si>
    <t>RTL-ETCL40FFB1</t>
  </si>
  <si>
    <t>mpower® ORV Chase Light Kit, compatible with Ford F-150 (2014-2024) and SuperDuty (2017-2024)</t>
  </si>
  <si>
    <t>ENFDGS1AA</t>
  </si>
  <si>
    <t>nFORCE® Dual Deck/Grille Mount Light, SAE Class 1, 10-16v, Black Housing, 6 LED, Single Color - Amber/Amber</t>
  </si>
  <si>
    <t>ENFDGS1AW</t>
  </si>
  <si>
    <t>nFORCE® Dual Deck/Grille Mount Light, SAE Class 1, 10-16v, Black Housing, 6 LED, Single Color - Amber/White</t>
  </si>
  <si>
    <t>ENFDGS1BA</t>
  </si>
  <si>
    <t>nFORCE® Dual Deck/Grille Mount Light, SAE Class 1, 10-16v, Black Housing, 6 LED, Single Color - Blue/Amber</t>
  </si>
  <si>
    <t>ENFDGS1BB</t>
  </si>
  <si>
    <t>nFORCE® Dual Deck/Grille Mount Light, SAE Class 1, 10-16v, Black Housing, 6 LED, Single Color - Blue/Blue</t>
  </si>
  <si>
    <t>ENFDGS1BW</t>
  </si>
  <si>
    <t>nFORCE® Dual Deck/Grille Mount Light, SAE Class 1, 10-16v, Black Housing, 6 LED, Single Color - Blue/White</t>
  </si>
  <si>
    <t>ENFDGS1JJ</t>
  </si>
  <si>
    <t>nFORCE® Dual Deck/Grille Mount Light, SAE Class 1, 10-16v, Black Housing, 6 LED, Split Color - Red/Blue</t>
  </si>
  <si>
    <t>ENFDGS1RA</t>
  </si>
  <si>
    <t>nFORCE® Dual Deck/Grille Mount Light, SAE Class 1, 10-16v, Black Housing, 6 LED, Single Color - Red/Amber</t>
  </si>
  <si>
    <t>ENFDGS1RB</t>
  </si>
  <si>
    <t>nFORCE® Dual Deck/Grille Mount Light, SAE Class 1, 10-16v, Black Housing, 6 LED, Single Color - Red/Blue</t>
  </si>
  <si>
    <t>ENFDGS1RR</t>
  </si>
  <si>
    <t>nFORCE® Dual Deck/Grille Mount Light, SAE Class 1, 10-16v, Black Housing, 6 LED, Single Color - Red/Red</t>
  </si>
  <si>
    <t>ENFDGS1RW</t>
  </si>
  <si>
    <t>nFORCE® Dual Deck/Grille Mount Light, SAE Class 1, 10-16v, Black Housing, 6 LED, Single Color - Red/White</t>
  </si>
  <si>
    <t>ENFDGS2AA</t>
  </si>
  <si>
    <t>nFORCE® Dual Deck/Grille Mount Light, SAE Class 1, 10-16v, Black Housing, 9 LED, Single Color - Amber/Amber</t>
  </si>
  <si>
    <t>ENFDGS2AW</t>
  </si>
  <si>
    <t>nFORCE® Dual Deck/Grille Mount Light, SAE Class 1, 10-16v, Black Housing, 9 LED, Single Color - Amber/White</t>
  </si>
  <si>
    <t>ENFDGS2BA</t>
  </si>
  <si>
    <t>nFORCE® Dual Deck/Grille Mount Light, SAE Class 1, 10-16v, Black Housing, 9 LED, Single Color - Blue/Amber</t>
  </si>
  <si>
    <t>ENFDGS2BB</t>
  </si>
  <si>
    <t>nFORCE® Dual Deck/Grille Mount Light, SAE Class 1, 10-16v, Black Housing, 9 LED, Single Color - Blue/Blue</t>
  </si>
  <si>
    <t>ENFDGS2BW</t>
  </si>
  <si>
    <t>nFORCE® Dual Deck/Grille Mount Light, SAE Class 1, 10-16v, Black Housing, 9 LED, Single Color - Blue/White</t>
  </si>
  <si>
    <t>ENFDGS2RA</t>
  </si>
  <si>
    <t>nFORCE® Dual Deck/Grille Mount Light, SAE Class 1, 10-16v, Black Housing, 9 LED, Single Color - Red/Amber</t>
  </si>
  <si>
    <t>ENFDGS2RB</t>
  </si>
  <si>
    <t>nFORCE® Dual Deck/Grille Mount Light, SAE Class 1, 10-16v, Black Housing, 9 LED, Single Color - Red/Blue</t>
  </si>
  <si>
    <t>ENFDGS2RR</t>
  </si>
  <si>
    <t>nFORCE® Dual Deck/Grille Mount Light, SAE Class 1, 10-16v, Black Housing, 9 LED, Single Color - Red/Red</t>
  </si>
  <si>
    <t>ENFDGS2RW</t>
  </si>
  <si>
    <t>nFORCE® Dual Deck/Grille Mount Light, SAE Class 1, 10-16v, Black Housing, 9 LED, Single Color - Red/White</t>
  </si>
  <si>
    <t>ENFDGS3AA</t>
  </si>
  <si>
    <t>nFORCE® Dual Deck/Grille Mount Light, SAE Class 1, 10-16v, Black Housing, 12 LED, Single Color - Amber/Amber</t>
  </si>
  <si>
    <t>ENFDGS3AW</t>
  </si>
  <si>
    <t>nFORCE® Dual Deck/Grille Mount Light, SAE Class 1, 10-16v, Black Housing, 12 LED, Single Color - Amber/White</t>
  </si>
  <si>
    <t>ENFDGS3BA</t>
  </si>
  <si>
    <t>nFORCE® Dual Deck/Grille Mount Light, SAE Class 1, 10-16v, Black Housing, 12 LED, Single Color - Blue/Amber</t>
  </si>
  <si>
    <t>ENFDGS3BB</t>
  </si>
  <si>
    <t>nFORCE® Dual Deck/Grille Mount Light, SAE Class 1, 10-16v, Black Housing, 12 LED, Single Color - Blue/Blue</t>
  </si>
  <si>
    <t>ENFDGS3BW</t>
  </si>
  <si>
    <t>nFORCE® Dual Deck/Grille Mount Light, SAE Class 1, 10-16v, Black Housing, 12 LED, Single Color - Blue/White</t>
  </si>
  <si>
    <t>ENFDGS3JJ</t>
  </si>
  <si>
    <t>nFORCE® Dual Deck/Grille Mount Light, SAE Class 1, 10-16v, Black Housing, 12 LED, Split Color - Red/Blue</t>
  </si>
  <si>
    <t>ENFDGS3RA</t>
  </si>
  <si>
    <t>nFORCE® Dual Deck/Grille Mount Light, SAE Class 1, 10-16v, Black Housing, 12 LED, Single Color - Red/Amber</t>
  </si>
  <si>
    <t>ENFDGS3RB</t>
  </si>
  <si>
    <t>nFORCE® Dual Deck/Grille Mount Light, SAE Class 1, 10-16v, Black Housing, 12 LED, Single Color - Red/Blue</t>
  </si>
  <si>
    <t>ENFDGS3RR</t>
  </si>
  <si>
    <t>nFORCE® Dual Deck/Grille Mount Light, SAE Class 1, 10-16v, Black Housing, 12 LED, Single Color - Red/Red</t>
  </si>
  <si>
    <t>ENFDGS3RW</t>
  </si>
  <si>
    <t>nFORCE® Dual Deck/Grille Mount Light, SAE Class 1, 10-16v, Black Housing, 12 LED, Single Color - Red/White</t>
  </si>
  <si>
    <t>ENFDGS4BRA</t>
  </si>
  <si>
    <t>nFORCE® Dual Deck/Grille Mount Light, SAE Class 1, 10-16v, Black Housing, 18 LED, Tricolor - Blue/Red/Amber</t>
  </si>
  <si>
    <t>ENFDGS4BRW</t>
  </si>
  <si>
    <t>nFORCE® Dual Deck/Grille Mount Light, SAE Class 1, 10-16v, Black Housing, 18 LED, Tricolor - Blue/Red/White</t>
  </si>
  <si>
    <t>ENFDWP1AA</t>
  </si>
  <si>
    <t>nFORCE® Dual Windshield Light w/ Permanent Mount, 12" hard wire w/ sync option, SAE Class 1, 10-16v, Black Housing, 6 LED, Single Color - Amber/Amber</t>
  </si>
  <si>
    <t>ENFDWP1AW</t>
  </si>
  <si>
    <t>nFORCE® Dual Windshield Light w/ Permanent Mount, 12" hard wire w/ sync option, SAE Class 1, 10-16v, Black Housing, 6 LED, Single Color - Amber/White</t>
  </si>
  <si>
    <t>ENFDWP1BA</t>
  </si>
  <si>
    <t>nFORCE® Dual Windshield Light w/ Permanent Mount, 12" hard wire w/ sync option, SAE Class 1, 10-16v, Black Housing, 6 LED, Single Color - Blue/Amber</t>
  </si>
  <si>
    <t>ENFDWP1BB</t>
  </si>
  <si>
    <t>nFORCE® Dual Windshield Light w/ Permanent Mount, 12" hard wire w/ sync option, SAE Class 1, 10-16v, Black Housing, 6 LED, Single Color - Blue/Blue</t>
  </si>
  <si>
    <t>ENFDWP1BW</t>
  </si>
  <si>
    <t>nFORCE® Dual Windshield Light w/ Permanent Mount, 12" hard wire w/ sync option, SAE Class 1, 10-16v, Black Housing, 6 LED, Single Color - Blue/White</t>
  </si>
  <si>
    <t>ENFDWP1JJ</t>
  </si>
  <si>
    <t>nFORCE® Dual Windshield Light w/ Permanent Mount, 12" hard wire w/ sync option, SAE Class 1, 10-16v, Black Housing, 6 LED, Split Color - Red/Blue</t>
  </si>
  <si>
    <t>ENFDWP1RA</t>
  </si>
  <si>
    <t>nFORCE® Dual Windshield Light w/ Permanent Mount, 12" hard wire w/ sync option, SAE Class 1, 10-16v, Black Housing, 6 LED, Single Color - Red/Amber</t>
  </si>
  <si>
    <t>ENFDWP1RB</t>
  </si>
  <si>
    <t>nFORCE® Dual Windshield Light w/ Permanent Mount, 12" hard wire w/ sync option, SAE Class 1, 10-16v, Black Housing, 6 LED, Single Color - Red/Blue</t>
  </si>
  <si>
    <t>ENFDWP1RR</t>
  </si>
  <si>
    <t>nFORCE® Dual Windshield Light w/ Permanent Mount, 12" hard wire w/ sync option, SAE Class 1, 10-16v, Black Housing, 6 LED, Single Color - Red/Red</t>
  </si>
  <si>
    <t>ENFDWP1RW</t>
  </si>
  <si>
    <t>nFORCE® Dual Windshield Light w/ Permanent Mount, 12" hard wire w/ sync option, SAE Class 1, 10-16v, Black Housing, 6 LED, Single Color - Red/White</t>
  </si>
  <si>
    <t>ENFDWP2AA</t>
  </si>
  <si>
    <t>nFORCE® Dual Windshield Light w/ Permanent Mount, 12" hard wire w/ sync option, SAE Class 1, 10-16v, Black Housing, 9 LED, Single Color - Amber/Amber</t>
  </si>
  <si>
    <t>ENFDWP2AW</t>
  </si>
  <si>
    <t>nFORCE® Dual Windshield Light w/ Permanent Mount, 12" hard wire w/ sync option, SAE Class 1, 10-16v, Black Housing, 9 LED, Single Color - Amber/White</t>
  </si>
  <si>
    <t>ENFDWP2BA</t>
  </si>
  <si>
    <t>nFORCE® Dual Windshield Light w/ Permanent Mount, 12" hard wire w/ sync option, SAE Class 1, 10-16v, Black Housing, 9 LED, Single Color - Blue/Amber</t>
  </si>
  <si>
    <t>ENFDWP2BB</t>
  </si>
  <si>
    <t>nFORCE® Dual Windshield Light w/ Permanent Mount, 12" hard wire w/ sync option, SAE Class 1, 10-16v, Black Housing, 9 LED, Single Color - Blue/Blue</t>
  </si>
  <si>
    <t>ENFDWP2BW</t>
  </si>
  <si>
    <t>nFORCE® Dual Windshield Light w/ Permanent Mount, 12" hard wire w/ sync option, SAE Class 1, 10-16v, Black Housing, 9 LED, Single Color - Blue/White</t>
  </si>
  <si>
    <t>ENFDWP2RA</t>
  </si>
  <si>
    <t>nFORCE® Dual Windshield Light w/ Permanent Mount, 12" hard wire w/ sync option, SAE Class 1, 10-16v, Black Housing, 9 LED, Single Color - Red/Amber</t>
  </si>
  <si>
    <t>ENFDWP2RB</t>
  </si>
  <si>
    <t>nFORCE® Dual Windshield Light w/ Permanent Mount, 12" hard wire w/ sync option, SAE Class 1, 10-16v, Black Housing, 9 LED, Single Color - Red/Blue</t>
  </si>
  <si>
    <t>ENFDWP2RR</t>
  </si>
  <si>
    <t>nFORCE® Dual Windshield Light w/ Permanent Mount, 12" hard wire w/ sync option, SAE Class 1, 10-16v, Black Housing, 9 LED, Single Color - Red/Red</t>
  </si>
  <si>
    <t>ENFDWP2RW</t>
  </si>
  <si>
    <t>nFORCE® Dual Windshield Light w/ Permanent Mount, 12" hard wire w/ sync option, SAE Class 1, 10-16v, Black Housing, 9 LED, Single Color - Red/White</t>
  </si>
  <si>
    <t>ENFDWP34DBRW</t>
  </si>
  <si>
    <t>nFORCE® Dual Windshield Light w/ Permanent Mount, 12" hard wire w/ sync option, SAE Class 1, CA Title 13, 10-16v, Black Housing, Driver Side 12 LED, Dual Color Red/White, Passenger Side 18 LED, Tricolor Blue/Red/White</t>
  </si>
  <si>
    <t>ENFDWP3AA</t>
  </si>
  <si>
    <t>nFORCE® Dual Windshield Light w/ Permanent Mount, 12" hard wire w/ sync option, SAE Class 1, 10-16v, Black Housing, 12 LED, Single Color - Amber/Amber</t>
  </si>
  <si>
    <t>ENFDWP3AW</t>
  </si>
  <si>
    <t>nFORCE® Dual Windshield Light w/ Permanent Mount, 12" hard wire w/ sync option, SAE Class 1, 10-16v, Black Housing, 12 LED, Single Color - Amber/White</t>
  </si>
  <si>
    <t>ENFDWP3BA</t>
  </si>
  <si>
    <t>nFORCE® Dual Windshield Light w/ Permanent Mount, 12" hard wire w/ sync option, SAE Class 1, 10-16v, Black Housing, 12 LED, Single Color - Blue/Amber</t>
  </si>
  <si>
    <t>ENFDWP3BB</t>
  </si>
  <si>
    <t>nFORCE® Dual Windshield Light w/ Permanent Mount, 12" hard wire w/ sync option, SAE Class 1, 10-16v, Black Housing, 12 LED, Single Color - Blue/Blue</t>
  </si>
  <si>
    <t>ENFDWP3BW</t>
  </si>
  <si>
    <t>nFORCE® Dual Windshield Light w/ Permanent Mount, 12" hard wire w/ sync option, SAE Class 1, 10-16v, Black Housing, 12 LED, Single Color - Blue/White</t>
  </si>
  <si>
    <t>ENFDWP3JJ</t>
  </si>
  <si>
    <t>nFORCE® Dual Windshield Light w/ Permanent Mount, 12" hard wire w/ sync option, SAE Class 1, 10-16v, Black Housing, 12 LED, Split Color - Red/Blue</t>
  </si>
  <si>
    <t>ENFDWP3RA</t>
  </si>
  <si>
    <t>nFORCE® Dual Windshield Light w/ Permanent Mount, 12" hard wire w/ sync option, SAE Class 1, 10-16v, Black Housing, 12 LED, Single Color - Red/Amber</t>
  </si>
  <si>
    <t>ENFDWP3RB</t>
  </si>
  <si>
    <t>nFORCE® Dual Windshield Light w/ Permanent Mount, 12" hard wire w/ sync option, SAE Class 1, 10-16v, Black Housing, 12 LED, Single Color - Red/Blue</t>
  </si>
  <si>
    <t>ENFDWP3RR</t>
  </si>
  <si>
    <t>nFORCE® Dual Windshield Light w/ Permanent Mount, 12" hard wire w/ sync option, SAE Class 1, 10-16v, Black Housing, 12 LED, Single Color - Red/Red</t>
  </si>
  <si>
    <t>ENFDWP3RW</t>
  </si>
  <si>
    <t>nFORCE® Dual Windshield Light w/ Permanent Mount, 12" hard wire w/ sync option, SAE Class 1, 10-16v, Black Housing, 12 LED, Single Color - Red/White</t>
  </si>
  <si>
    <t>ENFDWP4BRA</t>
  </si>
  <si>
    <t>nFORCE® Dual Windshield Light w/ Permanent Mount, 12" hard wire w/ sync option, SAE Class 1, 10-16v, Black Housing, 18 LED, Tricolor - Blue/Red/Amber</t>
  </si>
  <si>
    <t>ENFDWP4BRW</t>
  </si>
  <si>
    <t>nFORCE® Dual Windshield Light w/ Permanent Mount, 12" hard wire w/ sync option, SAE Class 1, 10-16v, Black Housing, 18 LED,  Tricolor - Blue/Red/White</t>
  </si>
  <si>
    <t>ENFDWS1AA</t>
  </si>
  <si>
    <t>nFORCE® Dual Windshield Light w/ Suction Cup Mount, 12v Cigar Plug &amp; 11.5 ft cord, SAE Class 1, 10-16v, Black Housing, 6 LED, Single Color - Amber/Amber</t>
  </si>
  <si>
    <t>ENFDWS1AW</t>
  </si>
  <si>
    <t>nFORCE® Dual Windshield Light w/ Suction Cup Mount, 12v Cigar Plug &amp; 11.5 ft cord, SAE Class 1, 10-16v, Black Housing, 6 LED, Single Color - Amber/White</t>
  </si>
  <si>
    <t>ENFDWS1BA</t>
  </si>
  <si>
    <t>nFORCE® Dual Windshield Light w/ Suction Cup Mount, 12v Cigar Plug &amp; 11.5 ft cord, SAE Class 1, 10-16v, Black Housing, 6 LED, Single Color - Blue/Amber</t>
  </si>
  <si>
    <t>ENFDWS1BB</t>
  </si>
  <si>
    <t>nFORCE® Dual Windshield Light w/ Suction Cup Mount, 12v Cigar Plug &amp; 11.5 ft cord, SAE Class 1, 10-16v, Black Housing, 6 LED, Single Color - Blue/Blue</t>
  </si>
  <si>
    <t>ENFDWS1BW</t>
  </si>
  <si>
    <t>nFORCE® Dual Windshield Light w/ Suction Cup Mount, 12v Cigar Plug &amp; 11.5 ft cord, SAE Class 1, 10-16v, Black Housing, 6 LED, Single Color - Blue/White</t>
  </si>
  <si>
    <t>ENFDWS1JJ</t>
  </si>
  <si>
    <t>nFORCE® Dual Windshield Light w/ Suction Cup Mount, 12v Cigar Plug &amp; 11.5 ft cord, SAE Class 1, 10-16v, Black Housing, 6 LED, Split Color - Red/Blue</t>
  </si>
  <si>
    <t>ENFDWS1RA</t>
  </si>
  <si>
    <t>nFORCE® Dual Windshield Light w/ Suction Cup Mount, 12v Cigar Plug &amp; 11.5 ft cord, SAE Class 1, 10-16v, Black Housing, 6 LED, Single Color - Red/Amber</t>
  </si>
  <si>
    <t>ENFDWS1RB</t>
  </si>
  <si>
    <t>nFORCE® Dual Windshield Light w/ Suction Cup Mount, 12v Cigar Plug &amp; 11.5 ft cord, SAE Class 1, 10-16v, Black Housing, 6 LED, Single Color - Red/Blue</t>
  </si>
  <si>
    <t>ENFDWS1RR</t>
  </si>
  <si>
    <t>nFORCE® Dual Windshield Light w/ Suction Cup Mount, 12v Cigar Plug &amp; 11.5 ft cord, SAE Class 1, 10-16v, Black Housing, 6 LED, Single Color - Red/Red</t>
  </si>
  <si>
    <t>ENFDWS1RW</t>
  </si>
  <si>
    <t>nFORCE® Dual Windshield Light w/ Suction Cup Mount, 12v Cigar Plug &amp; 11.5 ft cord, SAE Class 1, 10-16v, Black Housing, 6 LED, Single Color - Red/White</t>
  </si>
  <si>
    <t>ENFDWS2AA</t>
  </si>
  <si>
    <t>nFORCE® Dual Windshield Light w/ Suction Cup Mount, 12v Cigar Plug &amp; 11.5 ft cord, SAE Class 1, 10-16v, Black Housing, 9 LED, Single Color - Amber/Amber</t>
  </si>
  <si>
    <t>ENFDWS2AW</t>
  </si>
  <si>
    <t>nFORCE® Dual Windshield Light w/ Suction Cup Mount, 12v Cigar Plug &amp; 11.5 ft cord, SAE Class 1, 10-16v, Black Housing, 9 LED, Single Color - Amber/White</t>
  </si>
  <si>
    <t>ENFDWS2BA</t>
  </si>
  <si>
    <t>nFORCE® Dual Windshield Light w/ Suction Cup Mount, 12v Cigar Plug &amp; 11.5 ft cord, SAE Class 1, 10-16v, Black Housing, 9 LED, Single Color - Blue/Amber</t>
  </si>
  <si>
    <t>ENFDWS2BB</t>
  </si>
  <si>
    <t>nFORCE® Dual Windshield Light w/ Suction Cup Mount, 12v Cigar Plug &amp; 11.5 ft cord, SAE Class 1, 10-16v, Black Housing, 9 LED, Single Color - Blue/Blue</t>
  </si>
  <si>
    <t>ENFDWS2BW</t>
  </si>
  <si>
    <t>nFORCE® Dual Windshield Light w/ Suction Cup Mount, 12v Cigar Plug &amp; 11.5 ft cord, SAE Class 1, 10-16v, Black Housing, 9 LED, Single Color - Blue/White</t>
  </si>
  <si>
    <t>ENFDWS2RA</t>
  </si>
  <si>
    <t>nFORCE® Dual Windshield Light w/ Suction Cup Mount, 12v Cigar Plug &amp; 11.5 ft cord, SAE Class 1, 10-16v, Black Housing, 9 LED, Single Color - Red/Amber</t>
  </si>
  <si>
    <t>ENFDWS2RB</t>
  </si>
  <si>
    <t>nFORCE® Dual Windshield Light w/ Suction Cup Mount, 12v Cigar Plug &amp; 11.5 ft cord, SAE Class 1, 10-16v, Black Housing, 9 LED, Single Color - Red/Blue</t>
  </si>
  <si>
    <t>ENFDWS2RR</t>
  </si>
  <si>
    <t>nFORCE® Dual Windshield Light w/ Suction Cup Mount, 12v Cigar Plug &amp; 11.5 ft cord, SAE Class 1, 10-16v, Black Housing, 9 LED, Single Color - Red/Red</t>
  </si>
  <si>
    <t>ENFDWS2RW</t>
  </si>
  <si>
    <t>nFORCE® Dual Windshield Light w/ Suction Cup Mount, 12v Cigar Plug &amp; 11.5 ft cord, SAE Class 1, 10-16v, Black Housing, 9 LED, Single Color - Red/White</t>
  </si>
  <si>
    <t>ENFDWS3AA</t>
  </si>
  <si>
    <t>nFORCE® Dual Windshield Light w/ Suction Cup Mount, 12v Cigar Plug &amp; 11.5 ft cord, SAE Class 1, 10-16v, Black Housing, 12 LED, Single Color - Amber/Amber</t>
  </si>
  <si>
    <t>ENFDWS3AW</t>
  </si>
  <si>
    <t>nFORCE® Dual Windshield Light w/ Suction Cup Mount, 12v Cigar Plug &amp; 11.5 ft cord, SAE Class 1, 10-16v, Black Housing, 12 LED, Single Color - Amber/White</t>
  </si>
  <si>
    <t>ENFDWS3BA</t>
  </si>
  <si>
    <t>nFORCE® Dual Windshield Light w/ Suction Cup Mount, 12v Cigar Plug &amp; 11.5 ft cord, SAE Class 1, 10-16v, Black Housing, 12 LED, Single Color - Blue/Amber</t>
  </si>
  <si>
    <t>ENFDWS3BB</t>
  </si>
  <si>
    <t>nFORCE® Dual Windshield Light w/ Suction Cup Mount, 12v Cigar Plug &amp; 11.5 ft cord, SAE Class 1, 10-16v, Black Housing, 12 LED, Single Color - Blue/Blue</t>
  </si>
  <si>
    <t>ENFDWS3BW</t>
  </si>
  <si>
    <t>nFORCE® Dual Windshield Light w/ Suction Cup Mount, 12v Cigar Plug &amp; 11.5 ft cord, SAE Class 1, 10-16v, Black Housing, 12 LED, Single Color - Blue/White</t>
  </si>
  <si>
    <t>ENFDWS3JJ</t>
  </si>
  <si>
    <t>nFORCE® Dual Windshield Light w/ Suction Cup Mount, 12v Cigar Plug &amp; 11.5 ft cord, SAE Class 1, 10-16v, Black Housing, 12 LED, Split Color - Red/Blue</t>
  </si>
  <si>
    <t>ENFDWS3RA</t>
  </si>
  <si>
    <t>nFORCE® Dual Windshield Light w/ Suction Cup Mount, 12v Cigar Plug &amp; 11.5 ft cord, SAE Class 1, 10-16v, Black Housing, 12 LED, Single Color - Red/Amber</t>
  </si>
  <si>
    <t>ENFDWS3RB</t>
  </si>
  <si>
    <t>nFORCE® Dual Windshield Light w/ Suction Cup Mount, 12v Cigar Plug &amp; 11.5 ft cord, SAE Class 1, 10-16v, Black Housing, 12 LED, Single Color - Red/Blue</t>
  </si>
  <si>
    <t>ENFDWS3RR</t>
  </si>
  <si>
    <t>nFORCE® Dual Windshield Light w/ Suction Cup Mount, 12v Cigar Plug &amp; 11.5 ft cord, SAE Class 1, 10-16v, Black Housing, 12 LED, Single Color - Red/Red</t>
  </si>
  <si>
    <t>ENFDWS3RW</t>
  </si>
  <si>
    <t>nFORCE® Dual Windshield Light w/ Suction Cup Mount, 12v Cigar Plug &amp; 11.5 ft cord, SAE Class 1, 10-16v, Black Housing, 12 LED, Single Color - Red/White</t>
  </si>
  <si>
    <t>ENFDWS4BRA</t>
  </si>
  <si>
    <t>nFORCE® Dual Windshield Light w/ Suction Cup Mount, 12v Cigar Plug &amp; 11.5 ft cord, SAE Class 1, 10-16v, Black Housing, 18 LED, Tricolor - Blue/Red/Amber</t>
  </si>
  <si>
    <t>ENFDWS4BRW</t>
  </si>
  <si>
    <t>nFORCE® Dual Windshield Light w/ Suction Cup Mount, 12v Cigar Plug &amp; 11.5 ft cord, SAE Class 1, 10-16v, Black Housing, 18 LED, Tricolor - Blue/Red/White</t>
  </si>
  <si>
    <t>ENFSGS1A</t>
  </si>
  <si>
    <t>nFORCE® Single Deck/Grille Mount Light, SAE Class 1, 10-16v, Black Housing, 6 LED, Single Color - Amber</t>
  </si>
  <si>
    <t>ENFSGS1B</t>
  </si>
  <si>
    <t>nFORCE® Single Deck/Grille Mount Light, SAE Class 1, 10-16v, Black Housing, 6 LED, Single Color - Blue</t>
  </si>
  <si>
    <t>ENFSGS1D</t>
  </si>
  <si>
    <t>nFORCE® Single Deck/Grille Mount Light, SAE Class 1, 10-16v, Black Housing, 6 LED, Split Color - Red/White</t>
  </si>
  <si>
    <t>ENFSGS1J</t>
  </si>
  <si>
    <t>nFORCE® Single Deck/Grille Mount Light, SAE Class 1, 10-16v, Black Housing, 6 LED, Split Color - Red/Blue</t>
  </si>
  <si>
    <t>ENFSGS1R</t>
  </si>
  <si>
    <t>nFORCE® Single Deck/Grille Mount Light, SAE Class 1, 10-16v, Black Housing, 6 LED, Single Color - Red</t>
  </si>
  <si>
    <t>ENFSGS1W</t>
  </si>
  <si>
    <t>nFORCE® Single Deck/Grille Mount Light, SAE Class 1, 10-16v, Black Housing, 6 LED, Single Color - White</t>
  </si>
  <si>
    <t>ENFSGS2A</t>
  </si>
  <si>
    <t>nFORCE® Single Deck/Grille Mount Light, SAE Class 1, 10-16v, Black Housing, 9 LED, Single Color - Amber</t>
  </si>
  <si>
    <t>ENFSGS2B</t>
  </si>
  <si>
    <t>nFORCE® Single Deck/Grille Mount Light, SAE Class 1, 10-16v, Black Housing, 9 LED, Single Color - Blue</t>
  </si>
  <si>
    <t>ENFSGS2R</t>
  </si>
  <si>
    <t>nFORCE® Single Deck/Grille Mount Light, SAE Class 1, 10-16v, Black Housing, 9 LED, Single Color - Red</t>
  </si>
  <si>
    <t>ENFSGS2W</t>
  </si>
  <si>
    <t>nFORCE® Single Deck/Grille Mount Light, SAE Class 1, 10-16v, Black Housing, 9 LED, Single Color - White</t>
  </si>
  <si>
    <t>ENFSGS3A</t>
  </si>
  <si>
    <t>nFORCE® Single Deck/Grille Mount Light, SAE Class 1, 10-16v, Black Housing, 12 LED, Single Color - Amber</t>
  </si>
  <si>
    <t>ENFSGS3B</t>
  </si>
  <si>
    <t>nFORCE® Single Deck/Grille Mount Light, SAE Class 1, 10-16v, Black Housing, 12 LED, Single Color - Blue</t>
  </si>
  <si>
    <t>ENFSGS3R</t>
  </si>
  <si>
    <t>nFORCE® Single Deck/Grille Mount Light, SAE Class 1, 10-16v, Black Housing, 12 LED, Single Color - Red</t>
  </si>
  <si>
    <t>ENFSGS3W</t>
  </si>
  <si>
    <t>nFORCE® Single Deck/Grille Mount Light, SAE Class 1, 10-16v, Black Housing, 12 LED, Single Color - White</t>
  </si>
  <si>
    <t>ENFSRV1A</t>
  </si>
  <si>
    <t>nFORCE® Single 6" Oval Recess Mount Light, SAE Class 1, 10-16v, Black Housing, 6 LED, Single Color - Amber</t>
  </si>
  <si>
    <t>ENFSRV1D</t>
  </si>
  <si>
    <t>nFORCE® Single 6" Oval Recess Mount Light, SAE Class 1, 10-16v, Black Housing, 6 LED, Split Color - Red/White</t>
  </si>
  <si>
    <t>ENFSRV1F</t>
  </si>
  <si>
    <t>nFORCE® Single 6" Oval Recess Mount Light, SAE Class 1, 10-16v, Black Housing, 6 LED, Split Color - Amber/White</t>
  </si>
  <si>
    <t>ENFSRV1W</t>
  </si>
  <si>
    <t>nFORCE® Single 6" Oval Recess Mount Light, SAE Class 1, 10-16v, Black Housing, 6 LED, Single Color - White</t>
  </si>
  <si>
    <t>ENFSRV2A</t>
  </si>
  <si>
    <t>nFORCE® Single 6" Oval Recess Mount Light, SAE Class 1, 10-16v, Black Housing, 9 LED, Single Color - Amber</t>
  </si>
  <si>
    <t>ENFSRV2W</t>
  </si>
  <si>
    <t>nFORCE® Single 6" Oval Recess Mount Light, SAE Class 1, 10-16v, Black Housing, 9 LED, Single Color - White</t>
  </si>
  <si>
    <t>ENFSRV3A</t>
  </si>
  <si>
    <t>nFORCE® Single 6" Oval Recess Mount Light, SAE Class 1, 10-16v, Black Housing, 12 LED, Single Color - Amber</t>
  </si>
  <si>
    <t>ENFSRV3D</t>
  </si>
  <si>
    <t>nFORCE® Single 6" Oval Recess Mount Light, SAE Class 1, 10-16v, Black Housing, 12 LED, Dual Color - Red/White</t>
  </si>
  <si>
    <t>ENFSRV3F</t>
  </si>
  <si>
    <t>nFORCE® Single 6" Oval Recess Mount Light, SAE Class 1, 10-16v, Black Housing, 12 LED, Dual Color - Amber/White</t>
  </si>
  <si>
    <t>ENFSRV3W</t>
  </si>
  <si>
    <t>nFORCE® Single 6" Oval Recess Mount Light, SAE Class 1, 10-16v, Black Housing, 12 LED, Single Color - White</t>
  </si>
  <si>
    <t>ENFSRS1A</t>
  </si>
  <si>
    <t>nFORCE® Single Recess Mount Light, SAE Class 1, 10-16v, Black Housing, 6 LED, Single Color - Amber</t>
  </si>
  <si>
    <t>ENFSRS1B</t>
  </si>
  <si>
    <t>nFORCE® Single Recess Mount Light, SAE Class 1, 10-16v, Black Housing, 6 LED, Single Color - Blue</t>
  </si>
  <si>
    <t>ENFSRS1J</t>
  </si>
  <si>
    <t>nFORCE® Single Recess Mount Light, SAE Class 1, 10-16v, Black Housing, 6 LED, Single Color - Red/Blue</t>
  </si>
  <si>
    <t>ENFSRS1R</t>
  </si>
  <si>
    <t>nFORCE® Single Recess Mount Light, SAE Class 1, 10-16v, Black Housing, 6 LED, Single Color - Red</t>
  </si>
  <si>
    <t>ENFSRS1W</t>
  </si>
  <si>
    <t>nFORCE® Single Recess Mount Light, SAE Class 1, 10-16v, Black Housing, 6 LED, Single Color - White</t>
  </si>
  <si>
    <t>ENFSRS2A</t>
  </si>
  <si>
    <t>nFORCE® Single Recess Mount Light, SAE Class 1, 10-16v, Black Housing, 9 LED, Single Color - Amber</t>
  </si>
  <si>
    <t>ENFSRS2B</t>
  </si>
  <si>
    <t>nFORCE® Single Recess Mount Light, SAE Class 1, 10-16v, Black Housing, 9 LED, Single Color - Blue</t>
  </si>
  <si>
    <t>ENFSRS2R</t>
  </si>
  <si>
    <t>nFORCE® Single Recess Mount Light, SAE Class 1, 10-16v, Black Housing, 9 LED, Single Color - Red</t>
  </si>
  <si>
    <t>ENFSRS2W</t>
  </si>
  <si>
    <t>nFORCE® Single Recess Mount Light, SAE Class 1, 10-16v, Black Housing, 9 LED, Single Color - White</t>
  </si>
  <si>
    <t>ENFSRS3A</t>
  </si>
  <si>
    <t>nFORCE® Single Recess Mount Light, SAE Class 1, 10-16v, Black Housing, 12 LED, Single Color - Amber</t>
  </si>
  <si>
    <t>ENFSRS3B</t>
  </si>
  <si>
    <t>nFORCE® Single Recess Mount Light, SAE Class 1, 10-16v, Black Housing, 12 LED, Single Color - Blue</t>
  </si>
  <si>
    <t>ENFSRS3J</t>
  </si>
  <si>
    <t>nFORCE® Single Recess Mount Light, SAE Class 1, 10-16v, Black Housing, 12 LED, Split Color - Red/Blue</t>
  </si>
  <si>
    <t>ENFSRS3R</t>
  </si>
  <si>
    <t>nFORCE® Single Recess Mount Light, SAE Class 1, 10-16v, Black Housing, 12 LED, Single Color - Red</t>
  </si>
  <si>
    <t>ENFSRS3W</t>
  </si>
  <si>
    <t>nFORCE® Single Recess Mount Light, SAE Class 1, 10-16v, Black Housing, 12 LED, Single Color - White</t>
  </si>
  <si>
    <t>ENFSRS4BRA</t>
  </si>
  <si>
    <t>nFORCE® Single Recess Mount Light, SAE Class 1, 10-16v, Black Housing, 18 LED, Tricolor - Blue/Red/Amber</t>
  </si>
  <si>
    <t>ENFSRS4BRW</t>
  </si>
  <si>
    <t>nFORCE® Single Recess Mount Light, SAE Class 1, 10-16v, Black Housing, 18 LED, Tricolor - Blue/Red/White</t>
  </si>
  <si>
    <t>ENFSSS1A</t>
  </si>
  <si>
    <t>nFORCE® Single Surface Mount Light, SAE Class 1, 10-16v, Black Housing, 6 LED, Single Color - Amber</t>
  </si>
  <si>
    <t>ENFSSS1B</t>
  </si>
  <si>
    <t>nFORCE® Single Surface Mount Light, SAE Class 1, 10-16v, Black Housing, 6 LED, Single Color - Blue</t>
  </si>
  <si>
    <t>ENFSSS1J</t>
  </si>
  <si>
    <t>nFORCE® Single Surface Mount Light, SAE Class 1, 10-16v, Black Housing, 6 LED, Split Color - Red/Blue</t>
  </si>
  <si>
    <t>ENFSSS1R</t>
  </si>
  <si>
    <t>nFORCE® Single Surface Mount Light, SAE Class 1, 10-16v, Black Housing, 6 LED, Single Color - Red</t>
  </si>
  <si>
    <t>ENFSSS1W</t>
  </si>
  <si>
    <t>nFORCE® Single Surface Mount Light, SAE Class 1, 10-16v, Black Housing, 6 LED, Single Color - White</t>
  </si>
  <si>
    <t>ENFSSS2A</t>
  </si>
  <si>
    <t>nFORCE® Single Surface Mount Light, SAE Class 1, 10-16v, Black Housing, 9 LED, Single Color - Amber</t>
  </si>
  <si>
    <t>ENFSSS2B</t>
  </si>
  <si>
    <t>nFORCE® Single Surface Mount Light, SAE Class 1, 10-16v, Black Housing, 9 LED, Single Color - Blue</t>
  </si>
  <si>
    <t>ENFSSS2R</t>
  </si>
  <si>
    <t>nFORCE® Single Surface Mount Light, SAE Class 1, 10-16v, Black Housing, 9 LED, Single Color - Red</t>
  </si>
  <si>
    <t>ENFSSS2W</t>
  </si>
  <si>
    <t>nFORCE® Single Surface Mount Light, SAE Class 1, 10-16v, Black Housing, 9 LED, Single Color - White</t>
  </si>
  <si>
    <t>ENFSSS3A</t>
  </si>
  <si>
    <t>nFORCE® Single Surface Mount Light, SAE Class 1, 10-16v, Black Housing, 12 LED, Single Color - Amber</t>
  </si>
  <si>
    <t>ENFSSS3B</t>
  </si>
  <si>
    <t>nFORCE® Single Surface Mount Light, SAE Class 1, 10-16v, Black Housing, 12 LED, Single Color - Blue</t>
  </si>
  <si>
    <t>ENFSSS3D</t>
  </si>
  <si>
    <t>nFORCE® Single Surface Mount Light, SAE Class 1, 10-16v, Black Housing, 12 LED, Dual Color - Red/White</t>
  </si>
  <si>
    <t>ENFSSS3E</t>
  </si>
  <si>
    <t>nFORCE® Single Surface Mount Light, SAE Class 1, 10-16v, Black Housing, 12 LED, Dual Color - Blue/White</t>
  </si>
  <si>
    <t>ENFSSS3F</t>
  </si>
  <si>
    <t>nFORCE® Single Surface Mount Light, SAE Class 1, 10-16v, Black Housing, 12 LED, Dual Color - Amber/White</t>
  </si>
  <si>
    <t>ENFSSS3J</t>
  </si>
  <si>
    <t>nFORCE® Single Surface Mount Light, SAE Class 1, 10-16v, Black Housing, 12 LED, Dual Color - Red/Blue</t>
  </si>
  <si>
    <t>ENFSSS3K</t>
  </si>
  <si>
    <t>nFORCE® Single Surface Mount Light, SAE Class 1, 10-16v, Black Housing, 12 LED, Dual Color - Red/Amber</t>
  </si>
  <si>
    <t>ENFSSS3R</t>
  </si>
  <si>
    <t>nFORCE® Single Surface Mount Light, SAE Class 1, 10-16v, Black Housing, 12 LED, Single Color - Red</t>
  </si>
  <si>
    <t>ENFSSS3W</t>
  </si>
  <si>
    <t>nFORCE® Single Surface Mount Light, SAE Class 1, 10-16v, Black Housing, 12 LED, Single Color - White</t>
  </si>
  <si>
    <t>ENFSSS4BRA</t>
  </si>
  <si>
    <t>nFORCE® Single Surface Mount Light, SAE Class 1, 10-16v, Black Housing, 18 LED, Tricolor - Blue/Red/Amber</t>
  </si>
  <si>
    <t>ENFSSS4BRW</t>
  </si>
  <si>
    <t>nFORCE® Single Surface Mount Light, SAE Class 1, 10-16v, Black Housing, 18 LED, Tricolor - Blue/Red/White</t>
  </si>
  <si>
    <t>ENFSWP1A</t>
  </si>
  <si>
    <t>nFORCE® Single Windshield Light w/ Permanent Mount,12" hard wire w/ sync option, SAE Class 1, 10-16v, Black Housing, 6 LED, Single Color - Amber</t>
  </si>
  <si>
    <t>ENFSWP1B</t>
  </si>
  <si>
    <t>nFORCE® Single Windshield Light w/ Permanent Mount,12" hard wire w/ sync option, SAE Class 1, 10-16v, Black Housing, 6 LED, Single Color - Blue</t>
  </si>
  <si>
    <t>ENFSWP1J</t>
  </si>
  <si>
    <t>nFORCE® Single Windshield Light w/ Permanent Mount,12" hard wire w/ sync option, SAE Class 1, 10-16v, Black Housing, 6 LED, Split Color - Red/Blue</t>
  </si>
  <si>
    <t>ENFSWP1R</t>
  </si>
  <si>
    <t>nFORCE® Single Windshield Light w/ Permanent Mount,12" hard wire w/ sync option, SAE Class 1, 10-16v, Black Housing, 6 LED, Single Color - Red</t>
  </si>
  <si>
    <t>ENFSWP1W</t>
  </si>
  <si>
    <t>nFORCE® Single Windshield Light w/ Permanent Mount, 12" hard wire w/ sync option, SAE Class 1, 10-16v, Black Housing, 6 LED, Single Color - White</t>
  </si>
  <si>
    <t>ENFSWP2A</t>
  </si>
  <si>
    <t>nFORCE® Single Windshield Light w/ Permanent Mount, 12" hard wire w/ sync option, SAE Class 1, 10-16v, Black Housing, 9 LED, Single Color - Amber</t>
  </si>
  <si>
    <t>ENFSWP2B</t>
  </si>
  <si>
    <t>nFORCE® Single Windshield Light w/ Permanent Mount, 12" hard wire w/ sync option, SAE Class 1, 10-16v, Black Housing, 9 LED, Single Color - Blue</t>
  </si>
  <si>
    <t>ENFSWP2R</t>
  </si>
  <si>
    <t>nFORCE® Single Windshield Light w/ Permanent Mount, 12" hard wire w/ sync option, SAE Class 1, 10-16v, Black Housing, 9 LED, Single Color - Red</t>
  </si>
  <si>
    <t>ENFSWP2W</t>
  </si>
  <si>
    <t>nFORCE® Single Windshield Light w/ Permanent Mount, 12" hard wire w/ sync option, SAE Class 1, 10-16v, Black Housing, 9 LED, Single Color - White</t>
  </si>
  <si>
    <t>ENFSWP3A</t>
  </si>
  <si>
    <t>nFORCE® Single Windshield Light w/ Permanent Mount, 12" hard wire w/ sync option, SAE Class 1, 10-16v, Black Housing, 12 LED, Single Color - Amber</t>
  </si>
  <si>
    <t>ENFSWP3B</t>
  </si>
  <si>
    <t>nFORCE® Single Windshield Light w/ Permanent Mount, 12" hard wire w/ sync option, SAE Class 1, 10-16v, Black Housing, 12 LED, Single Color - Blue</t>
  </si>
  <si>
    <t>ENFSWP3J</t>
  </si>
  <si>
    <t>nFORCE® Single Windshield Light w/ Permanent Mount, 12" hard wire w/ sync option, SAE Class 1, 10-16v, Black Housing, 12 LED, Dual Color - Red/Blue</t>
  </si>
  <si>
    <t>ENFSWP3R</t>
  </si>
  <si>
    <t>nFORCE® Single Windshield Light w/ Permanent Mount, 12" hard wire w/ sync option, SAE Class 1, 10-16v, Black Housing, 12 LED, Single Color - Red</t>
  </si>
  <si>
    <t>ENFSWP3W</t>
  </si>
  <si>
    <t>nFORCE® Single Windshield Light w/ Permanent Mount, 12" hard wire w/ sync option, SAE Class 1, 10-16v, Black Housing, 12 LED, Single Color - White</t>
  </si>
  <si>
    <t>ENFSWP4BRA</t>
  </si>
  <si>
    <t>nFORCE® Single Windshield Light w/ Permanent Mount, 12" hard wire w/ sync option, SAE Class 1, 10-16v, Black Housing, 18 LED, Tricolor - Blue/Red/Amber</t>
  </si>
  <si>
    <t>ENFSWP4BRW</t>
  </si>
  <si>
    <t>nFORCE® Single Windshield Light w/ Permanent Mount, 12" hard wire w/ sync option, SAE Class 1, 10-16v, Black Housing, 18 LED, Tricolor - Blue/Red/White</t>
  </si>
  <si>
    <t>ENFSWS1A</t>
  </si>
  <si>
    <t>nFORCE® Single Windshield Light w/ Suction Cup Mount, SAE Class 1, 10-16v, Black Housing, 6 LED, Single Color - Amber</t>
  </si>
  <si>
    <t>ENFSWS1B</t>
  </si>
  <si>
    <t>nFORCE® Single Windshield Light w/ Suction Cup Mount, SAE Class 1, 10-16v, Black Housing, 6 LED, Single Color - Blue</t>
  </si>
  <si>
    <t>ENFSWS1J</t>
  </si>
  <si>
    <t>nFORCE® Single Windshield Light w/ Suction Cup Mount, SAE Class 1, 10-16v, Black Housing, 6 LED, Split Color - Red/Blue</t>
  </si>
  <si>
    <t>ENFSWS1R</t>
  </si>
  <si>
    <t>nFORCE® Single Windshield Light w/ Suction Cup Mount, SAE Class 1, 10-16v, Black Housing, 6 LED, Single Color - Red</t>
  </si>
  <si>
    <t>ENFSWS1W</t>
  </si>
  <si>
    <t>nFORCE® Single Windshield Light w/ Suction Cup Mount, SAE Class 1, 10-16v, Black Housing, 6 LED, Single Color - White</t>
  </si>
  <si>
    <t>ENFSWS2A</t>
  </si>
  <si>
    <t>nFORCE® Single Windshield Light w/ Suction Cup Mount, SAE Class 1, 10-16v, Black Housing, 9 LED, Single Color - Amber</t>
  </si>
  <si>
    <t>ENFSWS2B</t>
  </si>
  <si>
    <t>nFORCE® Single Windshield Light w/ Suction Cup Mount, SAE Class 1, 10-16v, Black Housing, 9 LED, Single Color - Blue</t>
  </si>
  <si>
    <t>ENFSWS2R</t>
  </si>
  <si>
    <t>nFORCE® Single Windshield Light w/ Suction Cup Mount, SAE Class 1, 10-16v, Black Housing, 9 LED, Single Color - Red</t>
  </si>
  <si>
    <t>ENFSWS2W</t>
  </si>
  <si>
    <t>nFORCE® Single Windshield Light w/ Suction Cup Mount, SAE Class 1, 10-16v, Black Housing, 9 LED, Single Color - White</t>
  </si>
  <si>
    <t>ENFSWS3A</t>
  </si>
  <si>
    <t>nFORCE® Single Windshield Light w/ Suction Cup Mount, SAE Class 1, 10-16v, Black Housing, 12 LED, Single Color - Amber</t>
  </si>
  <si>
    <t>ENFSWS3B</t>
  </si>
  <si>
    <t>nFORCE® Single Windshield Light w/ Suction Cup Mount, SAE Class 1, 10-16v, Black Housing, 12 LED, Single Color - Blue</t>
  </si>
  <si>
    <t>ENFSWS3D</t>
  </si>
  <si>
    <t>nFORCE® Single Windshield Light w/ Suction Cup Mount, SAE Class 1, 10-16v, Black Housing, 12 LED, Dual Color - Red/White</t>
  </si>
  <si>
    <t>ENFSWS3E</t>
  </si>
  <si>
    <t>nFORCE® Single Windshield Light w/ Suction Cup Mount, SAE Class 1, 10-16v, Black Housing, 12 LED, Dual Color - Blue/White</t>
  </si>
  <si>
    <t>ENFSWS3J</t>
  </si>
  <si>
    <t>nFORCE® Single Windshield Light w/ Suction Cup Mount, SAE Class 1, 10-16v, Black Housing, 12 LED, Dual Color - Red/Blue</t>
  </si>
  <si>
    <t>ENFSWS3R</t>
  </si>
  <si>
    <t>nFORCE® Single Windshield Light w/ Suction Cup Mount, SAE Class 1, 10-16v, Black Housing, 12 LED, Single Color - Red</t>
  </si>
  <si>
    <t>ENFSWS3W</t>
  </si>
  <si>
    <t>nFORCE® Single Windshield Light w/ Suction Cup Mount, SAE Class 1, 10-16v, Black Housing, 12 LED, Single Color - White</t>
  </si>
  <si>
    <t>ENFSWS4BRA</t>
  </si>
  <si>
    <t>nFORCE® Single Windshield Light w/ Suction Cup Mount, SAE Class 1, 10-16v, Black Housing, 18 LED, Tricolor - Blue/Red/Amber</t>
  </si>
  <si>
    <t>ENFSWS4BRW</t>
  </si>
  <si>
    <t>nFORCE® Single Windshield Light w/ Suction Cup Mount, SAE Class 1, 10-16v, Black Housing, 18 LED, Tricolor - Blue/Red/White</t>
  </si>
  <si>
    <t>EPSSB0JWZ-A</t>
  </si>
  <si>
    <t>nFUSE® 6x4 P Warning Light w/ Screw Mount, SAE J595 Class 1, CA Title 13, NFPA, KKK-1822-F, 9-32 Vdc, 1.5' Pigtail, Clear Lens, 12 LED, Single Color - Amber</t>
  </si>
  <si>
    <t>EPSSB0JWZ-B</t>
  </si>
  <si>
    <t>nFUSE® 6x4 P Warning Light, Screw Mount, SAE J595 Class 1, CA Title 13, NFPA, KKK-1822-F, 9-32 Vdc, 1.5' Pigtail, Clear Lens, 12 LED, Single Color - Blue</t>
  </si>
  <si>
    <t>EPSSB0JWZ-G</t>
  </si>
  <si>
    <t>nFUSE® 6x4 P Warning Light, Screw Mount, SAE J595 Class 3, CA Title 13, NFPA, KKK-1822-F, 9-32 Vdc, 1.5' Pigtail, Clear Lens, 12 LED, Single Color - Green</t>
  </si>
  <si>
    <t>EPSSB0JWZ-R</t>
  </si>
  <si>
    <t>nFUSE® 6x4 P Warning Light, Screw Mount, SAE J595 Class 1, CA Title 13, NFPA, KKK-1822-F, 9-32 Vdc, 1.5' Pigtail, Clear Lens, 12 LED, Single Color - Red</t>
  </si>
  <si>
    <t>EPSSB0JWZ-W</t>
  </si>
  <si>
    <t>nFUSE® 6x4 P Warning Light, Screw Mount, SAE J595 Class 1, CA Title 13, NFPA, KKK-1822-F, 9-32 Vdc, 1.5' Pigtail, Clear Lens, 12 LED, Single Color - White</t>
  </si>
  <si>
    <t>EPSSB0JX2-B</t>
  </si>
  <si>
    <t>nFUSE® 6x4 P Warning Light, Screw Mount, SAE J595 Class 1, CA Title 13, NFPA, KKK-1822-F, 9-32 Vdc, 1.5' Pigtail, Colored Lens, 12 LED, Single Color - Blue</t>
  </si>
  <si>
    <t>EPSSB0JX3-G</t>
  </si>
  <si>
    <t>nFUSE® 6x4 P Warning Light, Screw Mount, SAE J595 Class 3, CA Title 13, NFPA, KKK-1822-F, 9-32 Vdc, 1.5' Pigtail, Colored Lens, 12 LED, Single Color - Green</t>
  </si>
  <si>
    <t>EPSSB0JX4-R</t>
  </si>
  <si>
    <t>nFUSE® 6x4 P Warning Light, Screw Mount, SAE J595 Class 1, CA Title 13, NFPA, KKK-1822-F, 9-32 Vdc, 1.5' Pigtail, Colored Lens, 12 LED, Single Color - Red</t>
  </si>
  <si>
    <t>EPSSB0JX5-W</t>
  </si>
  <si>
    <t>nFUSE® 6x4 P Backup Light, Screw Mount, SAE J595 Class 1, CA Title 13, NFPA, KKK-1822-F, FMVSS-108, 9-32 Vdc, 1.5' Pigtail, Clear Lens, 18 LED - White</t>
  </si>
  <si>
    <t>EPSSB0JX6-R</t>
  </si>
  <si>
    <t>nFUSE® 6x4 P Stop/Tail &amp; Turn Light, Screw Mount, SAE J595 Class 1, CA Title 13, NFPA, KKK-1822-F, FMVSS-108, 9-32 Vdc, 1.5' Pigtail, Clear Lens, 20 LED - Red</t>
  </si>
  <si>
    <t>EPSSB0JX7-R</t>
  </si>
  <si>
    <t>nFUSE® 6x4 P Stop/Tail &amp; Turn Light, Screw Mount, SAE J595 Class 1, CA Title 13, NFPA, KKK-1822-F, FMVSS-108, 9-32 Vdc, 1.5' Pigtail, Red Lens, 20 LED - Red</t>
  </si>
  <si>
    <t>EPSSB0JX8-A</t>
  </si>
  <si>
    <t>nFUSE® 6x4 P Turn Light, Screw Mount, SAE J595 Class 1, CA Title 13, NFPA, KKK-1822-F, FMVSS-108, 9-32 Vdc, 1.5' Pigtail, Clear Lens, 20 LED - Amber</t>
  </si>
  <si>
    <t>EPSSB0JX9-A</t>
  </si>
  <si>
    <t>nFUSE® 6x4 P Turn Light, Screw Mount, SAE J595 Class 1, CA Title 13, NFPA, KKK-1822-F, FMVSS-108, 9-32 Vdc, 1.5' Pigtail, Amber Lens, 20 LED - Amber</t>
  </si>
  <si>
    <t>EPSSB0PQ0-D</t>
  </si>
  <si>
    <t>nFUSE® 6x4 P Backup Light w/ Warning, Screw Mount, SAE J595 Class 1, CA Title 13 certified, NFPA, KKK-1822-F, FMVSS-108, 9-32 Vdc, 1.5' Pigtail, Clear Lens, 28 LED, Red/White</t>
  </si>
  <si>
    <t>EPSSB0PQ0-E</t>
  </si>
  <si>
    <t>nFUSE® 6x4 P Backup Light w/ Warning, Screw Mount, SAE J595 Class 1, CA Title 13 certified, NFPA, KKK-1822-F, FMVSS-108, 9-32 Vdc, 1.5' Pigtail, Clear Lens, 28 LED, Blue/White</t>
  </si>
  <si>
    <t>EPSSB0PQ0-F</t>
  </si>
  <si>
    <t>nFUSE® 6x4 P Backup Light w/ Warning, Screw Mount, SAE J595 Class 1, CA Title 13 certified, NFPA, KKK-1822-F, FMVSS-108, 9-32 Vdc, 1.5' Pigtail, Clear Lens, 28 LED, Amber/White</t>
  </si>
  <si>
    <t>EPSSB0TFB-D</t>
  </si>
  <si>
    <t>nFUSE® 6x4 P Warning Light, Screw Mount, SAE J595 Class 1, CA Title 13, NFPA, KKK-1822-F, 9-32 Volt SAE with 1.5' Pigtail, Clear Lens, 24 LED Dual Color, Red/White</t>
  </si>
  <si>
    <t>EPSSB0TFB-E</t>
  </si>
  <si>
    <t>nFUSE® 6x4 P Warning Light, Screw Mount, SAE J595 Class 1, CA Title 13, NFPA, KKK-1822-F, 9-32 Volt SAE with 1.5' Pigtail, Clear Lens, 24 LED, Dual Color, Blue/White</t>
  </si>
  <si>
    <t>EPSSB0TFB-F</t>
  </si>
  <si>
    <t>nFUSE® 6x4 P Warning Light, Screw Mount, SAE J595 Class 1, CA Title 13, NFPA, KKK-1822-F, 9-32 Volt SAE with 1.5' Pigtail, Clear Lens, 24 LED, Dual Color, Amber/White</t>
  </si>
  <si>
    <t>EPSSB0TFC-D</t>
  </si>
  <si>
    <t>nFUSE® 6x4 P Warning Light, Screw Mount, SAE J595 Class 1, CA Title 13, NFPA, KKK-1822-F, 9-32 Volt SAE with 1.5' Pigtail, Clear Lens, 24 LED, Split Color, Red/White</t>
  </si>
  <si>
    <t>EPSSB0TFC-E</t>
  </si>
  <si>
    <t>nFUSE® 6x4 P Warning Light, Screw Mount, SAE J595 Class 1, CA Title 13, NFPA, KKK-1822-F, 9-32 Volt SAE with 1.5' Pigtail, Clear Lens, 24 LED, Split Color, Blue/White</t>
  </si>
  <si>
    <t>EPSSB0TFC-F</t>
  </si>
  <si>
    <t>nFUSE® 6x4 P Warning Light, Screw Mount, SAE J595 Class 1, CA Title 13, NFPA, KKK-1822-F, 9-32 Volt SAE with 1.5' Pigtail, Clear Lens, 24 LED Split Color, Amber/White</t>
  </si>
  <si>
    <t>EPSSB0TFC-J</t>
  </si>
  <si>
    <t>nFUSE® 6x4 P Warning Light, Screw Mount, SAE J595 Class 1, CA Title 13, NFPA, KKK-1822-F, 9-32 Volt SAE with 1.5' Pigtail, Clear Lens, 24 LED Split Color, Red/Blue</t>
  </si>
  <si>
    <t>EPSSB0TFC-K</t>
  </si>
  <si>
    <t>nFUSE® 6x4 P Warning Light, Screw Mount, SAE J595 Class 1, CA Title 13, NFPA, KKK-1822-F, 9-32 Volt SAE with 1.5' Pigtail, Clear Lens, 24 LED Split Color, Red/Amber</t>
  </si>
  <si>
    <t>EPSSB0TFC-M</t>
  </si>
  <si>
    <t>nFUSE® 6x4 P Warning Light, Screw Mount, SAE J595 Class 1, CA Title 13, NFPA, KKK-1822-F, 9-32 Volt SAE with 1.5' Pigtail, Clear Lens, 24 LED Split Color, Blue/Amber</t>
  </si>
  <si>
    <t>EPSSB0JX1-A</t>
  </si>
  <si>
    <t>nFUSE® 6x4 P Warning Light, Screw Mount, SAE J595 Class 1, CA Title 13, NFPA, KKK-1822-F, 9-32 Vdc, 1.5' Pigtail, Colored Lens, 12 LED, Single Color - Amber</t>
  </si>
  <si>
    <t>EPSSB0JXA-A</t>
  </si>
  <si>
    <t>nFUSE® 6x4 P Warning Light, Stud Mount, SAE J595 Class 1, CA Title 13, NFPA, KKK-1822-F, 9-32 Vdc, 1.5' Pigtail, Clear Lens, 12 LED, Single Color - Amber</t>
  </si>
  <si>
    <t>EPSSB0JXA-B</t>
  </si>
  <si>
    <t>nFUSE® 6x4 P Warning Light, Stud Mount, SAE J595 Class 1, CA Title 13, NFPA, KKK-1822-F, 9-32 Vdc, 1.5' Pigtail, Clear Lens, 12 LED, Single Color - Blue</t>
  </si>
  <si>
    <t>EPSSB0JXA-G</t>
  </si>
  <si>
    <t>nFUSE® 6x4 P Warning Light, Stud Mount, SAE J595 Class 3, CA Title 13, NFPA, KKK-1822-F, 9-32 Vdc, 1.5' Pigtail, Clear Lens, 12 LED, Single Color - Green</t>
  </si>
  <si>
    <t>EPSSB0JXA-R</t>
  </si>
  <si>
    <t>nFUSE® 6x4 P Warning Light, Stud Mount, SAE J595 Class 1, CA Title 13, NFPA, KKK-1822-F, 9-32 Vdc, 1.5' Pigtail, Clear Lens, 12 LED, Single Color - Red</t>
  </si>
  <si>
    <t>EPSSB0JXA-W</t>
  </si>
  <si>
    <t>nFUSE® 6x4 P Warning Light, Stud Mount, SAE J595 Class 1, CA Title 13, NFPA, KKK-1822-F, 9-32 Vdc, 1.5' Pigtail, Clear Lens, 12 LED, Single Color - White</t>
  </si>
  <si>
    <t>EPSSB0JXB-A</t>
  </si>
  <si>
    <t>nFUSE® 6x4 P Warning Light, Stud Mount, SAE J595 Class 1, CA Title 13, NFPA, KKK-1822-F, 9-32 Vdc, 1.5' Pigtail, Colored Lens, 12 LED, Single Color - Amber</t>
  </si>
  <si>
    <t>EPSSB0JXC-B</t>
  </si>
  <si>
    <t>nFUSE® 6x4 P Warning Light, Stud Mount, SAE J595 Class 1, CA Title 13, NFPA, KKK-1822-F, 9-32 Vdc, 1.5' Pigtail, Colored Lens, 12 LED, Single Color - Blue</t>
  </si>
  <si>
    <t>EPSSB0JXD-G</t>
  </si>
  <si>
    <t>nFUSE® 6x4 P Warning Light, Stud Mount, SAE J595 Class 3, CA Title 13, NFPA, KKK-1822-F, 9-32 Vdc, 1.5' Pigtail, Colored Lens, 12 LED, Single Color - Green</t>
  </si>
  <si>
    <t>EPSSB0JXE-R</t>
  </si>
  <si>
    <t>nFUSE® 6x4 P Warning Light, Stud Mount, SAE J595 Class 1, CA Title 13, NFPA, KKK-1822-F, 9-32 Vdc, 1.5' Pigtail, Colored Lens, 12 LED, Single Color - Red</t>
  </si>
  <si>
    <t>EPSSB0JXF-W</t>
  </si>
  <si>
    <t>nFUSE® 6x4 P Backup Light, Stud Mount, SAE J595 Class 1, CA Title 13, NFPA, KKK-1822-F, FMVSS-108, 9-32 Vdc, 1.5' Pigtail, Clear Lens, 18 LED - White</t>
  </si>
  <si>
    <t>EPSSB0JXG-R</t>
  </si>
  <si>
    <t>nFUSE® 6x4 P Stop/Tail &amp; Turn Light, Stud Mount, SAE J595 Class 1, CA Title 13, NFPA, KKK-1822-F, FMVSS-108, 9-32 Vdc, 1.5' Pigtail, Clear Lens, 20 LED - Red</t>
  </si>
  <si>
    <t>EPSSB0JXH-R</t>
  </si>
  <si>
    <t>nFUSE® 6x4 P Stop/Tail &amp; Turn Light, Stud Mount, SAE J595 Class 1, CA Title 13, NFPA, KKK-1822-F, FMVSS-108, 9-32 Vdc, 1.5' Pigtail, Red Lens, 20 LED - Red</t>
  </si>
  <si>
    <t>EPSSB0JXJ-A</t>
  </si>
  <si>
    <t>nFUSE® 6x4 P Turn Light, Stud Mount, SAE J595 Class 1, CA Title 13, NFPA, KKK-1822-F, FMVSS-108, 9-32 Vdc, 1.5' Pigtail, Clear Lens, 20 LED - Amber</t>
  </si>
  <si>
    <t>EPSSB0JXK-A</t>
  </si>
  <si>
    <t>nFUSE® 6x4 P Turn Light, Stud Mount, SAE J595 Class 1, CA Title 13, NFPA, KKK-1822-F, FMVSS-108, 9-32 Vdc, 1.5' Pigtail, Amber Lens, 20 LED - Amber</t>
  </si>
  <si>
    <t>EPSSB0QFU-D</t>
  </si>
  <si>
    <t>nFUSE® 6x4 P Backup Light w/ Warning, Stud Mount, SAE J595 Class 1, CA Title 13 certified, NFPA, KKK-1822-F, FMVSS-108, 9-32 Vdc, 1.5' Pigtail, Clear Lens, 28 LED, Red/White</t>
  </si>
  <si>
    <t>EPSSB0QFU-E</t>
  </si>
  <si>
    <t>nFUSE® 6x4 P Backup Light w/ Warning, Stud Mount, SAE J595 Class 1, CA Title 13 certified, NFPA, KKK-1822-F, FMVSS-108, 9-32 Vdc, 1.5' Pigtail, Clear Lens, 28 LED, Blue/White</t>
  </si>
  <si>
    <t>EPSSB0QFU-F</t>
  </si>
  <si>
    <t>nFUSE® 6x4 P Backup Light w/ Warning, Stud Mount, SAE J595 Class 1, CA Title 13 certified, NFPA, KKK-1822-F, FMVSS-108, 9-32 Vdc, 1.5' Pigtail, Clear Lens, 28 LED, Amber/White</t>
  </si>
  <si>
    <t>EPSSB0TFD-D</t>
  </si>
  <si>
    <t>nFUSE® 6x4 P Warning Light, Stud Mount, SAE J595 Class 1, CA Title 13, NFPA, KKK-1822-F, 9-32 Volt SAE with 1.5' Pigtail, Clear Lens, 24 LED Dual Color, Red/White</t>
  </si>
  <si>
    <t>EPSSB0TFD-E</t>
  </si>
  <si>
    <t>nFUSE® 6x4 P Warning Light, Stud Mount, SAE J595 Class 1, CA Title 13, NFPA, KKK-1822-F, 9-32 Volt SAE with 1.5' Pigtail, Clear Lens, 24 LED Dual Color, Blue/White</t>
  </si>
  <si>
    <t>EPSSB0TFD-F</t>
  </si>
  <si>
    <t>nFUSE® 6x4 P Warning Light, Stud Mount, SAE J595 Class 1, CA Title 13, NFPA, KKK-1822-F, 9-32 Volt SAE with 1.5' Pigtail, Clear Lens, 24 LED Dual Color, Amber/White</t>
  </si>
  <si>
    <t>EPSSB0TFD-J</t>
  </si>
  <si>
    <t>nFUSE® 6x4 P Warning Light, Stud Mount, SAE J595 Class 1, CA Title 13, NFPA, KKK-1822-F, 9-32 Volt SAE with 1.5' Pigtail, Clear Lens, 24 LED Dual Color, Red/Blue</t>
  </si>
  <si>
    <t>EPSSB0TFE-D</t>
  </si>
  <si>
    <t>nFUSE® 6x4 P Warning Light, Stud Mount, SAE J595 Class 1, CA Title 13, NFPA, KKK-1822-F, 9-32 Volt SAE with 1.5' Pigtail, Clear Lens, 24 LED, Split Color, Red/White</t>
  </si>
  <si>
    <t>EPSSB0TFE-E</t>
  </si>
  <si>
    <t>nFUSE® 6x4 P Warning Light, Stud Mount, SAE J595 Class 1, CA Title 13, NFPA, KKK-1822-F, 9-32 Volt SAE with 1.5' Pigtail, Clear Lens, 24 LED, Split Color, Blue/White</t>
  </si>
  <si>
    <t>EPSSB0TFE-F</t>
  </si>
  <si>
    <t>nFUSE® 6x4 P Warning Light, Stud Mount, SAE J595 Class 1, CA Title 13, NFPA, KKK-1822-F, 9-32 Volt SAE with 1.5' Pigtail, Clear Lens, 24 LED, Split Color, Amber/White</t>
  </si>
  <si>
    <t>EPSSB0TFE-J</t>
  </si>
  <si>
    <t>nFUSE® 6x4 P Warning Light, Stud Mount, SAE J595 Class 1, CA Title 13, NFPA, KKK-1822-F, 9-32 Volt SAE with 1.5' Pigtail, Clear Lens, 24 LED, Split Color, Red/Blue</t>
  </si>
  <si>
    <t>EPSSB0TFE-K</t>
  </si>
  <si>
    <t>nFUSE® 6x4 P Warning Light, Stud Mount, SAE J595 Class 1, CA Title 13, NFPA, KKK-1822-F, 9-32 Volt SAE with 1.5' Pigtail, Clear Lens, 24 LED, Split Color, Red/Amber</t>
  </si>
  <si>
    <t>EPSSB0TFE-M</t>
  </si>
  <si>
    <t>nFUSE® 6x4 P Warning Light, Stud Mount, SAE J595 Class 1, CA Title 13, NFPA, KKK-1822-F, 9-32 Volt SAE with 1.5' Pigtail, Clear Lens, 24 LED, Split Color, Blue/Amber</t>
  </si>
  <si>
    <t>EPSSC0JY4-A</t>
  </si>
  <si>
    <t>nFUSE® 7x3 P Warning Light, Screw Mount, SAE J595 Class 1, CA Title 13, NFPA, KKK-1822-F, 9-32 Vdc, 1.5' Pigtail, Clear Lens, 12 LED, Single Color - Amber</t>
  </si>
  <si>
    <t>EPSSC0JY4-B</t>
  </si>
  <si>
    <t>nFUSE® 7x3 P Warning Light, Screw Mount, SAE J595 Class 1, CA Title 13, NFPA, KKK-1822-F, 9-32 Vdc, 1.5' Pigtail, Clear Lens, 12 LED, Single Color - Blue</t>
  </si>
  <si>
    <t>EPSSC0JY4-G</t>
  </si>
  <si>
    <t>nFUSE® 7x3 P Warning Light, Screw Mount, SAE J595 Class 3, CA Title 13, NFPA, KKK-1822-F, 9-32 Vdc, 1.5' Pigtail, Clear Lens, 12 LED, Single Color - Green</t>
  </si>
  <si>
    <t>EPSSC0JY4-R</t>
  </si>
  <si>
    <t>nFUSE® 7x3 P Warning Light, Screw Mount, SAE J595 Class 1, CA Title 13, NFPA, KKK-1822-F, 9-32 Vdc, 1.5' Pigtail, Clear Lens, 12 LED, Single Color - Red</t>
  </si>
  <si>
    <t>EPSSC0JY4-W</t>
  </si>
  <si>
    <t>nFUSE® 7x3 P Warning Light, Screw Mount, SAE J595 Class 1, CA Title 13, NFPA, KKK-1822-F, 9-32 Vdc, 1.5' Pigtail, Clear Lens, 12 LED, Single Color - White</t>
  </si>
  <si>
    <t>EPSSC0JY5-A</t>
  </si>
  <si>
    <t>nFUSE® 7x3 P Warning Light, Screw Mount, SAE J595 Class 1, CA Title 13, NFPA, KKK-1822-F, 9-32 Vdc, 1.5' Pigtail, Amber Lens, 12 LED, Single Color - Amber</t>
  </si>
  <si>
    <t>EPSSC0JY6-B</t>
  </si>
  <si>
    <t>nFUSE® 7x3 P Warning Light, Screw Mount, SAE J595 Class 1, CA Title 13, NFPA, KKK-1822-F, 9-32 Vdc, 1.5' Pigtail, Blue Lens, 12 LED, Single Color - Blue</t>
  </si>
  <si>
    <t>EPSSC0JY7-G</t>
  </si>
  <si>
    <t>nFUSE® 7x3 P Warning Light, Screw Mount, SAE J595 Class 3, CA Title 13, NFPA, KKK-1822-F, 9-32 Vdc, 1.5' Pigtail, Green Lens, 12 LED, Single Color - Green</t>
  </si>
  <si>
    <t>EPSSC0JY8-R</t>
  </si>
  <si>
    <t>nFUSE® 7x3 P Warning Light, Screw Mount, SAE J595 Class 1, CA Title 13, NFPA, KKK-1822-F, 9-32 Vdc, 1.5' Pigtail, Red Lens, 12 LED, Single Color - Red</t>
  </si>
  <si>
    <t>EPSSC0JYA-W</t>
  </si>
  <si>
    <t>nFUSE® 7x3 P Backup Light, Screw Mount, SAE J595 Class 1, CA Title 13, NFPA, KKK-1822-F, FMVSS-108, 9-32 Vdc, 1.5' Pigtail, Clear Lens, 18 LED - White</t>
  </si>
  <si>
    <t>EPSSC0JYB-R</t>
  </si>
  <si>
    <t>nFUSE® 7x3 P Stop/Tail &amp; Turn Light, Screw Mount, SAE J595 Class 1, CA Title 13, NFPA, KKK-1822-F, FMVSS-108, 9-32 Vdc, 1.5' Pigtail, Clear Lens, 18 LED - Red</t>
  </si>
  <si>
    <t>EPSSC0JYC-R</t>
  </si>
  <si>
    <t>nFUSE® 7x3 P Stop/Tail &amp; Turn Light, Screw Mount, SAE J595 Class 1, CA Title 13, NFPA, KKK-1822-F, FMVSS-108, 9-32 Vdc, 1.5' Pigtail, Red Lens, 18 LED - Red</t>
  </si>
  <si>
    <t>EPSSC0JYD-A</t>
  </si>
  <si>
    <t>nFUSE® 7x3 P Turn Light, Screw Mount, SAE J595 Class 1, CA Title 13, NFPA, KKK-1822-F, FMVSS-108, 9-32 Vdc, 1.5' Pigtail, Clear Lens, 18 LED - Amber</t>
  </si>
  <si>
    <t>EPSSC0JYE-A</t>
  </si>
  <si>
    <t>nFUSE® 7x3 P Turn Light, Screw Mount, SAE J595 Class 1, CA Title 13, NFPA, KKK-1822-F, FMVSS-108, 9-32 Vdc, 1.5' Pigtail, Amber Lens, 18 LED - Amber</t>
  </si>
  <si>
    <t>EPSSC0PPZ-D</t>
  </si>
  <si>
    <t>nFUSE® 7x3 P Backup Light w/Warning, Screw Mount, SAE J595 Class 1, CA Title 13 certified, NFPA, KKK-1822-F, FMVSS-108, 9-32 Vdc, 1.5' Pigtail, Clear Housing/Lens, 28 LED, Red/White</t>
  </si>
  <si>
    <t>EPSSC0PPZ-E</t>
  </si>
  <si>
    <t>nFUSE® 7x3 P Backup Light w/Warning, Screw Mount, SAE J595 Class 1, CA Title 13 certified, NFPA, KKK-1822-F, FMVSS-108, 9-32 Vdc, 1.5' Pigtail, Clear Housing/Lens, 28 LED, Blue/White</t>
  </si>
  <si>
    <t>EPSSC0PPZ-F</t>
  </si>
  <si>
    <t>nFUSE® 7x3 P Backup Light w/Warning, Screw Mount, SAE J595 Class 1, CA Title 13 certified, NFPA, KKK-1822-F, FMVSS-108, 9-32 Vdc, 1.5' Pigtail, Clear Housing/Lens, 28 LED, Amber/White</t>
  </si>
  <si>
    <t>EPSSC0TFL-D</t>
  </si>
  <si>
    <t>nFUSE® 7x3 P Warning Light, Screw Mount, SAE J595 Class 1, CA Title 13, NFPA, KKK-1822-F, 9-32 Vdc, 1.5' Pigtail, Clear Lens, 24 LED, Dual Color, Red/White LEDs</t>
  </si>
  <si>
    <t>EPSSC0TFL-E</t>
  </si>
  <si>
    <t>nFUSE® 7x3 P Warning Light, Screw Mount, SAE J595 Class 1, CA Title 13, NFPA, KKK-1822-F, 9-32 Vdc, 1.5' Pigtail, Clear Lens, 24 LED, Dual Color, Blue/White</t>
  </si>
  <si>
    <t>EPSSC0TFL-F</t>
  </si>
  <si>
    <t>nFUSE® 7x3 P Warning Light, Screw Mount, SAE J595 Class 1, CA Title 13, NFPA, KKK-1822-F, 9-32 Vdc, 1.5' Pigtail, Clear Lens, 24 LED, Dual Color, Amber/White</t>
  </si>
  <si>
    <t>EPSSC0TFL-J</t>
  </si>
  <si>
    <t>nFUSE® 7x3 P Warning Light, Screw Mount, SAE J595 Class 1, CA Title 13, NFPA, KKK-1822-F, 9-32 Vdc, 1.5' Pigtail, Clear Lens, 24 LED, Dual Color, Red/Blue</t>
  </si>
  <si>
    <t>EPSSC0TFM-D</t>
  </si>
  <si>
    <t>nFUSE® 7x3 P Warning Light, Screw Mount, SAE J595 Class 1, CA Title 13, NFPA, KKK-1822-F, 9-32 Vdc, 1.5' Pigtail, Clear Lens, 24 LED, Split Color, Red/White LEDs</t>
  </si>
  <si>
    <t>EPSSC0TFM-E</t>
  </si>
  <si>
    <t>nFUSE® 7x3 P Warning Light, Screw Mount, SAE J595 Class 1, CA Title 13, NFPA, KKK-1822-F, 9-32 Vdc, 1.5' Pigtail, Clear Lens, 24 LED, Split Color, Blue/White</t>
  </si>
  <si>
    <t>EPSSC0TFM-F</t>
  </si>
  <si>
    <t>nFUSE® 7x3 P Warning Light, Screw Mount, SAE J595 Class 1, CA Title 13, NFPA, KKK-1822-F, 9-32 Vdc, 1.5' Pigtail, Clear Lens, 24 LED, Split Color, Amber/White</t>
  </si>
  <si>
    <t>EPSSC0TFM-J</t>
  </si>
  <si>
    <t>nFUSE® 7x3 P Warning Light, Screw Mount, SAE J595 Class 1, CA Title 13, NFPA, KKK-1822-F, 9-32 Vdc, 1.5' Pigtail, Clear Lens, 24 LED, Split Color, Red/Blue</t>
  </si>
  <si>
    <t>EPSSC0TFM-K</t>
  </si>
  <si>
    <t>nFUSE® 7x3 P Warning Light, Screw Mount, SAE J595 Class 1, CA Title 13, NFPA, KKK-1822-F, 9-32 Vdc, 1.5' Pigtail, Clear Lens, 24 LED, Split Color, Red/Amber</t>
  </si>
  <si>
    <t>EPSSC0TFM-M</t>
  </si>
  <si>
    <t>nFUSE® 7x3 P Warning Light, Screw Mount, SAE J595 Class 1, CA Title 13, NFPA, KKK-1822-F, 9-32 Vdc, 1.5' Pigtail, Clear Lens, 24 LED, Split Color, Blue/Amber</t>
  </si>
  <si>
    <t>EPSSC0YG2-W</t>
  </si>
  <si>
    <t>nFUSE® 7x3 P Scene Light, Screw Mount, 9-32 Vdc, 1.5' Pigtail, Clear Lens, 12 LED, Single Color, White</t>
  </si>
  <si>
    <t>EPSSC0JXS-A</t>
  </si>
  <si>
    <t>nFUSE® 7x3 P Warning Light, Stud Mount, SAE J595 Class 1, CA Title 13, NFPA, KKK-1822-F, 9-32 Vdc, 1.5' Pigtail, Clear Lens, 12 LED, Single Color - Amber</t>
  </si>
  <si>
    <t>EPSSC0JXS-B</t>
  </si>
  <si>
    <t>nFUSE® 7x3 P Warning Light, Stud Mount, SAE J595 Class 1, CA Title 13, NFPA, KKK-1822-F, 9-32 Vdc, 1.5' Pigtail, Clear Lens, 12 LED, Single Color - Blue</t>
  </si>
  <si>
    <t>EPSSC0JXS-G</t>
  </si>
  <si>
    <t>nFUSE® 7x3 P Warning Light, Stud Mount, SAE J595 Class 3, CA Title 13, NFPA, KKK-1822-F, 9-32 Vdc, 1.5' Pigtail, Clear Lens, 12 LED, Single Color - Green</t>
  </si>
  <si>
    <t>EPSSC0JXS-R</t>
  </si>
  <si>
    <t>nFUSE® 7x3 P Warning Light, Stud Mount, SAE J595 Class 1, CA Title 13, NFPA, KKK-1822-F, 9-32 Vdc, 1.5' Pigtail, Clear Lens, 12 LED, Single Color - Red</t>
  </si>
  <si>
    <t>EPSSC0JXS-W</t>
  </si>
  <si>
    <t>nFUSE® 7x3 P Warning Light, Stud Mount, SAE J595 Class 1, CA Title 13, NFPA, KKK-1822-F, 9-32 Vdc, 1.5' Pigtail, Clear Lens, 12 LED, Single Color - White</t>
  </si>
  <si>
    <t>EPSSC0JXU-A</t>
  </si>
  <si>
    <t>nFUSE® 7x3 P Warning Light, Stud Mount, SAE J595 Class 1, CA Title 13, NFPA, KKK-1822-F, 9-32 Vdc, 1.5' Pigtail, Amber Lens, 12 LED, Single Color - Amber</t>
  </si>
  <si>
    <t>EPSSC0JXV-B</t>
  </si>
  <si>
    <t>nFUSE® 7x3 P Warning Light, Stud Mount, SAE J595 Class 1, CA Title 13, NFPA, KKK-1822-F, 9-32 Vdc, 1.5' Pigtail, Blue Lens, 12 LED, Single Color - Blue</t>
  </si>
  <si>
    <t>EPSSC0JXX-G</t>
  </si>
  <si>
    <t>nFUSE® 7x3 P Warning Light, Stud Mount, SAE J595 Class 3, CA Title 13, NFPA, KKK-1822-F, 9-32 Vdc, 1.5' Pigtail, Green Lens, 12 LED, Single Color - Green</t>
  </si>
  <si>
    <t>EPSSC0JXY-R</t>
  </si>
  <si>
    <t>nFUSE® 7x3 P Warning Light, Stud Mount, SAE J595 Class 1, CA Title 13, NFPA, KKK-1822-F, 9-32 Vdc, 1.5' Pigtail, Red Lens, 12 LED, Single Color - Red</t>
  </si>
  <si>
    <t>EPSSC0JXZ-W</t>
  </si>
  <si>
    <t>nFUSE® 7x3 P Backup Light, Stud Mount, SAE J595 Class 1, CA Title 13, NFPA, KKK-1822-F, FMVSS-108, 9-32 Vdc, 1.5' Pigtail, Clear Lens, 18 LED - White</t>
  </si>
  <si>
    <t>EPSSC0JY0-R</t>
  </si>
  <si>
    <t>nFUSE® 7x3 P Stop/Tail &amp; Turn Light, Stud Mount, SAE J595 Class 1, CA Title 13, NFPA, KKK-1822-F, FMVSS-108, 9-32 Vdc, 1.5' Pigtail, Clear Lens, 18 LED - Red</t>
  </si>
  <si>
    <t>EPSSC0JY1-R</t>
  </si>
  <si>
    <t>nFUSE® 7x3 P Stop/Tail &amp; Turn Light, Stud Mount, SAE J595 Class 1, CA Title 13, NFPA, KKK-1822-F, FMVSS-108, 9-32 Vdc, 1.5' Pigtail, Red Lens, 18 LED - Red</t>
  </si>
  <si>
    <t>EPSSC0JY2-A</t>
  </si>
  <si>
    <t>nFUSE® 7x3 P Turn Light, Stud Mount, SAE J595 Class 1, CA Title 13, NFPA, KKK-1822-F, FMVSS-108, 9-32 Vdc, 1.5' Pigtail, Clear Lens, 18 LED - Amber</t>
  </si>
  <si>
    <t>EPSSC0JY3-A</t>
  </si>
  <si>
    <t>nFUSE® 7x3 P Turn Light, Stud Mount, SAE J595 Class 1, CA Title 13, NFPA, KKK-1822-F, FMVSS-108, 9-32 Vdc, 1.5' Pigtail, Colored Lens, 18 LED - Amber</t>
  </si>
  <si>
    <t>EPSSC0QFW-D</t>
  </si>
  <si>
    <t>nFUSE® 7x3 P Backup Light with Warning, Stud Mount, SAE J595 Class 1, CA Title 13 certified, NFPA, KKK-1822-F, FMVSS-108, 9-32 Vdc, 1.5' Pigtail, Clear Housing/Lens, 28 LED, Red/White</t>
  </si>
  <si>
    <t>EPSSC0QFW-E</t>
  </si>
  <si>
    <t>nFUSE® 7x3 P Backup Light with Warning, Stud Mount, SAE J595 Class 1, CA Title 13 certified, NFPA, KKK-1822-F, FMVSS-108, 9-32 Vdc, 1.5' Pigtail, Clear Housing/Lens, 28 LED, Blue/White</t>
  </si>
  <si>
    <t>EPSSC0QFW-F</t>
  </si>
  <si>
    <t>nFUSE® 7x3 P Backup Light with Warning, Stud Mount, SAE J595 Class 1, CA Title 13 certified, NFPA, KKK-1822-F, FMVSS-108, 9-32 Vdc, 1.5' Pigtail, Clear Housing/Lens, 28 LED, Amber/White</t>
  </si>
  <si>
    <t>EPSSC0TFN-D</t>
  </si>
  <si>
    <t>nFUSE® 7x3 P Warning Light, Stud Mount, SAE J595 Class 1, CA Title 13, NFPA, KKK-1822-F, 9-32 Vdc, 1.5' Pigtail, Clear Lens, 24 LED, Dual Color, Red/White LEDs</t>
  </si>
  <si>
    <t>EPSSC0TFN-E</t>
  </si>
  <si>
    <t>nFUSE® 7x3 P Warning Light, Stud Mount, SAE J595 Class 1, CA Title 13, NFPA, KKK-1822-F, 9-32 Vdc, 1.5' Pigtail, Clear Lens, 24 LED, Dual Color, Blue/White</t>
  </si>
  <si>
    <t>EPSSC0TFN-F</t>
  </si>
  <si>
    <t>nFUSE® 7x3 P Warning Light, Stud Mount, SAE J595 Class 1, CA Title 13, NFPA, KKK-1822-F, 9-32 Vdc, 1.5' Pigtail, Clear Lens, 24 LED, Dual Color, Amber/White</t>
  </si>
  <si>
    <t>EPSSC0TFN-J</t>
  </si>
  <si>
    <t>nFUSE® 7x3 P Warning Light, Stud Mount, SAE J595 Class 1, CA Title 13, NFPA, KKK-1822-F, 9-32 Vdc, 1.5' Pigtail, Clear Lens, 24 LED, Dual Color, Red/Blue</t>
  </si>
  <si>
    <t>EPSSC0TFP-D</t>
  </si>
  <si>
    <t>nFUSE® 7x3 P Warning Light, Stud Mount, SAE J595 Class 1, CA Title 13, NFPA, KKK-1822-F, 9-32 Vdc, 1.5' Pigtail, Clear Lens, 24 LED, Split Color, Red/White LEDs</t>
  </si>
  <si>
    <t>EPSSC0TFP-E</t>
  </si>
  <si>
    <t>nFUSE® 7x3 P Warning Light, Stud Mount, SAE J595 Class 1, CA Title 13, NFPA, KKK-1822-F, 9-32 Vdc, 1.5' Pigtail, Clear Lens, 24 LED, Split Color, Blue/White</t>
  </si>
  <si>
    <t>EPSSC0TFP-F</t>
  </si>
  <si>
    <t>nFUSE® 7x3 P Warning Light, Stud Mount, SAE J595 Class 1, CA Title 13, NFPA, KKK-1822-F, 9-32 Vdc, 1.5' Pigtail, Clear Lens, 24 LED, Split Color, Amber/White</t>
  </si>
  <si>
    <t>EPSSC0TFP-J</t>
  </si>
  <si>
    <t>nFUSE® 7x3 P Warning Light, Stud Mount, SAE J595 Class 1, CA Title 13, NFPA, KKK-1822-F, 9-32 Vdc, 1.5' Pigtail, Clear Lens, 24 LED, Split Color, Red/Blue</t>
  </si>
  <si>
    <t>EPSSC0TFP-K</t>
  </si>
  <si>
    <t>nFUSE® 7x3 P Warning Light, Stud Mount, SAE J595 Class 1, CA Title 13, NFPA, KKK-1822-F, 9-32 Vdc, 1.5' Pigtail, Clear Lens, 24 LED, Split Color, Red/Amber</t>
  </si>
  <si>
    <t>EPSSC0TFP-M</t>
  </si>
  <si>
    <t>nFUSE® 7x3 P Warning Light, Stud Mount, SAE J595 Class 1, CA Title 13, NFPA, KKK-1822-F, 9-32 Vdc, 1.5' Pigtail, Clear Lens, 24 LED, Split Color, Blue/Amber</t>
  </si>
  <si>
    <t>EPSSC0YG3-W</t>
  </si>
  <si>
    <t>nFUSE® 7x3 P Scene Light, Stud Mount, 9-32 Vdc, 1.5' Pigtail, Clear Lens, 12 LED, Single Color, White</t>
  </si>
  <si>
    <t>EPSSE0TF0-A</t>
  </si>
  <si>
    <t>nFUSE® 9x7 P Warning Light, Screw Mount, SAE J595 Class 1, CA Title 13, NFPA, KKK-1822-F, 9-32 Volt with 1.5' Pigtail, 36 LED Clear Lens, Single Color Amber</t>
  </si>
  <si>
    <t>EPSSE0TF0-B</t>
  </si>
  <si>
    <t>nFUSE® 9x7 P Warning Light, Screw Mount, SAE J595 Class 1, CA Title 13, NFPA, KKK-1822-F, 9-32 Volt with 1.5' Pigtail, 36 LED Clear Lens, Single Color Blue</t>
  </si>
  <si>
    <t>EPSSE0TF0-G</t>
  </si>
  <si>
    <t>nFUSE® 9x7 P Warning Light, Screw Mount, SAE J595 Class 1, CA Title 13, NFPA, KKK-1822-F, 9-32 Volt with 1.5' Pigtail, 36 LED Clear Lens, Single Color Green</t>
  </si>
  <si>
    <t>EPSSE0TF0-R</t>
  </si>
  <si>
    <t>nFUSE® 9x7 P Warning Light, Screw Mount, SAE J595 Class 1, CA Title 13, NFPA, KKK-1822-F, 9-32 Volt with 1.5' Pigtail, 36 LED Clear Lens, Single Color Red</t>
  </si>
  <si>
    <t>EPSSE0TF0-W</t>
  </si>
  <si>
    <t>nFUSE® 9x7 P Warning Light, Screw Mount, SAE J595 Class 1, NFPA, 9-32 Volt SAE with 1.5' Pigtail, 36 LED Clear Lens, Single Color White</t>
  </si>
  <si>
    <t>EPSSE0TF1-A</t>
  </si>
  <si>
    <t>nFUSE® 9x7 P Warning Light, Screw Mount, SAE J595 Class 1, CA Title 13, NFPA, KKK-1822-F, 9-32 Volt with 1.5' Pigtail, 36 LED Amber Lens, Single Color Amber</t>
  </si>
  <si>
    <t>EPSSE0TF2-B</t>
  </si>
  <si>
    <t>nFUSE® 9x7 P Warning Light, Screw Mount, SAE J595 Class 1, CA Title 13, NFPA, KKK-1822-F, 9-32 Volt with 1.5' Pigtail, 36 LED Blue Lens, Single Color Blue</t>
  </si>
  <si>
    <t>EPSSE0TF3-G</t>
  </si>
  <si>
    <t>nFUSE® 9x7 P Warning Light, Screw Mount, SAE J595 Class 1, CA Title 13, NFPA, KKK-1822-F, 9-32 Volt with 1.5' Pigtail, 36 LED Green Lens, Single Color Green</t>
  </si>
  <si>
    <t>EPSSE0TF4-R</t>
  </si>
  <si>
    <t>nFUSE® 9x7 P Warning Light, Screw Mount, SAE J595 Class 1, CA Title 13, NFPA, KKK-1822-F, 9-32 Volt with 1.5' Pigtail, 36 LED Red Lens, Single Color Red</t>
  </si>
  <si>
    <t>EPSSE10UX-W</t>
  </si>
  <si>
    <t>nFUSE® 9x7 P Scene Light, Screw Mount, 10-32 Vdc, 1.5' Pigtail, Clear Lens, 24 LED, Single Color, White</t>
  </si>
  <si>
    <t>EPSSE0TF5-A</t>
  </si>
  <si>
    <t>nFUSE® 9x7 P Warning Light, Stud Mount, SAE J595 Class 1, CA Title 13, NFPA, KKK-1822-F, 9-32 Volt SAE with 1.5' Pigtail, 36 LED Clear Lens, Single Color Amber</t>
  </si>
  <si>
    <t>EPSSE0TF5-B</t>
  </si>
  <si>
    <t>nFUSE® 9x7 P Warning Light, Stud Mount, SAE J595 Class 1, CA Title 13, NFPA, KKK-1822-F, 9-32 Volt SAE with 1.5' Pigtail, 36 LED Clear Lens, Single Color Blue</t>
  </si>
  <si>
    <t>EPSSE0TF5-G</t>
  </si>
  <si>
    <t>nFUSE® 9x7 P Warning Light, Stud Mount, SAE J595 Class 3, CA Title 13, NFPA, KKK-1822-F, 9-32 Volt SAE with 1.5' Pigtail, 36 LED Clear Lens, Single Color Green</t>
  </si>
  <si>
    <t>EPSSE0TF5-R</t>
  </si>
  <si>
    <t>nFUSE® 9x7 P Warning Light, Stud Mount, SAE J595 Class 1, CA Title 13, NFPA, KKK-1822-F, 9-32 Volt SAE with 1.5' Pigtail, 36 LED Clear Lens, Single Color Red</t>
  </si>
  <si>
    <t>EPSSE0TF5-W</t>
  </si>
  <si>
    <t>nFUSE® 9x7 P Warning Light, Stud Mount, SAE J595 Class 1, NFPA, 9-32 Volt SAE with 1.5' Pigtail, 36 LED Clear Lens, Single Color White</t>
  </si>
  <si>
    <t>EPSSE0TF6-A</t>
  </si>
  <si>
    <t>nFUSE® 9x7 P Warning Light, Stud Mount, SAE J595 Class 1, CA Title 13, NFPA, KKK-1822-F, 9-32 Volt SAE with 1.5' Pigtail, 36 LED Amber Lens, Single Color Amber</t>
  </si>
  <si>
    <t>EPSSE0TF7-B</t>
  </si>
  <si>
    <t>nFUSE® 9x7 P Warning Light, Stud Mount, SAE J595 Class 1, CA Title 13, NFPA, KKK-1822-F, 9-32 Volt SAE with 1.5' Pigtail, 36 LED Blue Lens, Single Color Blue</t>
  </si>
  <si>
    <t>EPSSE0TF8-G</t>
  </si>
  <si>
    <t>nFUSE® 9x7 P Warning Light, Stud Mount, SAE J595 Class 3, CA Title 13, NFPA, KKK-1822-F, 9-32 Volt SAE with 1.5' Pigtail, 36 LED Green Lens, Single Color Green</t>
  </si>
  <si>
    <t>EPSSE0TF9-R</t>
  </si>
  <si>
    <t>nFUSE® 9x7 P Warning Light, Stud Mount, SAE J595 Class 1, CA Title 13, NFPA, KKK-1822-F, 9-32 Volt SAE with 1.5' Pigtail, 36 LED Red Lens, Single Color Red</t>
  </si>
  <si>
    <t>EPSSE10UY-W</t>
  </si>
  <si>
    <t>nFUSE® 9x7 P Scene Light, Stud Mount, 10-32 Vdc, 1.5' Pigtail, Clear Lens, 24 LED, Single Color, White</t>
  </si>
  <si>
    <t>ESLRL15118</t>
  </si>
  <si>
    <t>SL Running Light, 15" - 1 Module, Dual/Split Color Red/Blue/White</t>
  </si>
  <si>
    <t>ESLRL1511D</t>
  </si>
  <si>
    <t>SL Running Light, 15" - 1 Module, Dual Color Red/White</t>
  </si>
  <si>
    <t>ESLRL1511E</t>
  </si>
  <si>
    <t>SL Running Light, 15" - 1 Module, Dual Color Blue/White</t>
  </si>
  <si>
    <t>ESLRL1511F</t>
  </si>
  <si>
    <t>SL Running Light, 15" - 1 Module, Dual Color Amber/White</t>
  </si>
  <si>
    <t>ESLRL1511J</t>
  </si>
  <si>
    <t>SL Running Light, 15" - 1 Module, Dual Color Red/Blue</t>
  </si>
  <si>
    <t>ESLRL50148</t>
  </si>
  <si>
    <t>SL Running Light, 50" - 4 Module, Dual/Split Color Red/Blue/White</t>
  </si>
  <si>
    <t>ESLRL5014D</t>
  </si>
  <si>
    <t>SL Running Light, 50" - 4 Module, Dual Color Red/White</t>
  </si>
  <si>
    <t>ESLRL5014E</t>
  </si>
  <si>
    <t>SL Running Light, 50" - 4 Module, Dual Color Blue/White</t>
  </si>
  <si>
    <t>ESLRL5014F</t>
  </si>
  <si>
    <t>SL Running Light, 50" - 4 Module, Dual Color Amber/White</t>
  </si>
  <si>
    <t>ESLRL5014J</t>
  </si>
  <si>
    <t>SL Running Light, 50" - 4 Module, Dual Color Red/Blue</t>
  </si>
  <si>
    <t>ESLRL61158</t>
  </si>
  <si>
    <t>SL Running Light, 61" - 5 Module, Dual/Split Color Red/Blue/White</t>
  </si>
  <si>
    <t>ESLRL6115D</t>
  </si>
  <si>
    <t>SL Running Light, 61" - 5 Module, Dual Color Red/White</t>
  </si>
  <si>
    <t>ESLRL6115E</t>
  </si>
  <si>
    <t>SL Running Light, 61" - 5 Module, Dual Color Blue/White</t>
  </si>
  <si>
    <t>ESLRL6115F</t>
  </si>
  <si>
    <t>SL Running Light, 61" - 5 Module, Dual Color Amber/White</t>
  </si>
  <si>
    <t>ESLRL6115J</t>
  </si>
  <si>
    <t>SL Running Light, 61" - 5 Module, Dual Color Red/Blue</t>
  </si>
  <si>
    <t>ESLRL73168</t>
  </si>
  <si>
    <t>SL Running Light, 72" - 6 Module, Dual/Split Red/Blue/White</t>
  </si>
  <si>
    <t>ESLRL7316D</t>
  </si>
  <si>
    <t>SL Running Light, 72" - 6 Module, Dual Color Red/White</t>
  </si>
  <si>
    <t>ESLRL7316E</t>
  </si>
  <si>
    <t>SL Running Light, 72" - 6 Module, Dual Color Blue/White</t>
  </si>
  <si>
    <t>ESLRL7316F</t>
  </si>
  <si>
    <t>SL Running Light, 72" - 6 Module, Dual Color Amber/White</t>
  </si>
  <si>
    <t>ESLRL7316J</t>
  </si>
  <si>
    <t>SL Running Light, 72" - 6 Module, Dual Color Red/Blue</t>
  </si>
  <si>
    <t>ELUC3H010A</t>
  </si>
  <si>
    <t>Universal UnderCover Screw-In LED Insert Single Light Kit, 9-32 Vdc w/ 10’ 5-wire harness: includes insert, Lens #1 (Extreme Angle) &amp; Inline Flasher – Single Color Amber</t>
  </si>
  <si>
    <t>ELUC3H010B</t>
  </si>
  <si>
    <t>Universal UnderCover Screw-In LED Insert Single Light Kit, 9-32 Vdc w/ 10’ 5-wire harness: includes insert, Lens #1 (Extreme Angle) &amp; Inline Flasher – Single Color Blue</t>
  </si>
  <si>
    <t>ELUC3H010G</t>
  </si>
  <si>
    <t>Universal UnderCover Screw-In LED Insert Single Light Kit, 9-32 Vdc w/ 10’ 5-wire harness: includes insert, Lens #1 (Extreme Angle) &amp; Inline Flasher – Single Color Green</t>
  </si>
  <si>
    <t>ELUC3H010R</t>
  </si>
  <si>
    <t>Universal UnderCover Screw-In LED Insert Single Light Kit, 9-32 Vdc w/ 10’ 5-wire harness: includes insert, Lens #1 (Extreme Angle) &amp; Inline Flasher – Single Color Red</t>
  </si>
  <si>
    <t>ELUC3H010U</t>
  </si>
  <si>
    <t>Infrared Universal UnderCover Screw-In LED Insert Single Light Kit, 9-32 Vdc w/ 10’ 5-wire harness: includes insert, Lens #1 (Extreme Angle) &amp; Inline Flasher</t>
  </si>
  <si>
    <t>ELUC3H010W</t>
  </si>
  <si>
    <t>Universal UnderCover Screw-In LED Insert Single Light Kit, 9-32 Vdc w/ 10’ 5-wire harness: includes insert, Lens #1 (Extreme Angle) &amp; Inline Flasher – Single Color White</t>
  </si>
  <si>
    <t>ELUC3H025A</t>
  </si>
  <si>
    <t>Universal UnderCover Screw-In LED Insert Single Light Kit, 9-32 Vdc w/ 25’ 5-wire harness: includes insert, Lens #1 (Extreme Angle) &amp; Inline Flasher – Single Color Amber</t>
  </si>
  <si>
    <t>ELUC3H025B</t>
  </si>
  <si>
    <t>Universal UnderCover Screw-In LED Insert Single Light Kit, 9-32 Vdc w/ 25’ 5-wire harness: includes insert, Lens #1 (Extreme Angle) &amp; Inline Flasher – Single Color Blue</t>
  </si>
  <si>
    <t>ELUC3H025D</t>
  </si>
  <si>
    <t>Universal UnderCover Screw-In LED Insert Single Light Kit, 9-32 Vdc w/ 25’ 5-wire harness: includes insert, Lens #1 (Extreme Angle) &amp; Inline Flasher – Dual Color Red/White</t>
  </si>
  <si>
    <t>ELUC3H025E</t>
  </si>
  <si>
    <t>Universal UnderCover Screw-In LED Insert Single Light Kit, 9-32 Vdc w/ 25’ 5-wire harness: includes insert, Lens #1 (Extreme Angle) &amp; Inline Flasher – Dual Color Blue/White</t>
  </si>
  <si>
    <t>ELUC3H025F</t>
  </si>
  <si>
    <t>Universal UnderCover Screw-In LED Insert Single Light Kit, 9-32 Vdc w/ 25’ 5-wire harness: includes insert, Lens #1 (Extreme Angle) &amp; Inline Flasher – Dual Color Amber/White</t>
  </si>
  <si>
    <t>ELUC3H025G</t>
  </si>
  <si>
    <t>Universal UnderCover Screw-In LED Insert Single Light Kit, 9-32 Vdc w/ 25’ 5-wire harness: includes insert, Lens #1 (Extreme Angle) &amp; Inline Flasher – Single Color Green</t>
  </si>
  <si>
    <t>ELUC3H025H</t>
  </si>
  <si>
    <t>Universal UnderCover Screw-In LED Insert Single Light Kit, 9-32 Vdc w/ 25’ 5-wire harness: includes insert, Lens #1 (Extreme Angle) &amp; Inline Flasher – Dual Color Green/White</t>
  </si>
  <si>
    <t>ELUC3H025J</t>
  </si>
  <si>
    <t>Universal UnderCover Screw-In LED Insert Single Light Kit, 9-32 Vdc w/ 25’ 5-wire harness: includes insert, Lens #1 (Extreme Angle) &amp; Inline Flasher – Dual Color Red/Blue</t>
  </si>
  <si>
    <t>ELUC3H025K</t>
  </si>
  <si>
    <t>Universal UnderCover Screw-In LED Insert Single Light Kit, 9-32 Vdc w/ 25’ 5-wire harness: includes insert, Lens #1 (Extreme Angle) &amp; Inline Flasher – Dual Color Red/Amber</t>
  </si>
  <si>
    <t>ELUC3H025L</t>
  </si>
  <si>
    <t>Universal UnderCover Screw-In LED Insert Single Light Kit, 9-32 Vdc w/ 25’ 5-wire harness: includes insert, Lens #1 (Extreme Angle) &amp; Inline Flasher – Dual Color Red/Green</t>
  </si>
  <si>
    <t>ELUC3H025M</t>
  </si>
  <si>
    <t>Universal UnderCover Screw-In LED Insert Single Light Kit, 9-32 Vdc w/ 25’ 5-wire harness: includes insert, Lens #1 (Extreme Angle) &amp; Inline Flasher – Dual Color Blue/Amber</t>
  </si>
  <si>
    <t>ELUC3H025N</t>
  </si>
  <si>
    <t>Universal UnderCover Screw-In LED Insert Single Light Kit, 9-32 Vdc w/ 25’ 5-wire harness: includes insert, Lens #1 (Extreme Angle) &amp; Inline Flasher – Dual Color Blue/Green</t>
  </si>
  <si>
    <t>ELUC3H025P</t>
  </si>
  <si>
    <t>Universal UnderCover Screw-In LED Insert Single Light Kit, 9-32 Vdc w/ 25’ 5-wire harness: includes insert, Lens #1 (Extreme Angle) &amp; Inline Flasher – Dual Color Green/Amber</t>
  </si>
  <si>
    <t>ELUC3H025R</t>
  </si>
  <si>
    <t>Universal UnderCover Screw-In LED Insert Single Light Kit, 9-32 Vdc w/ 25’ 5-wire harness: includes insert, Lens #1 (Extreme Angle) &amp; Inline Flasher – Single Color Red</t>
  </si>
  <si>
    <t>ELUC3H025U</t>
  </si>
  <si>
    <t>Infrared Universal UnderCover Screw-In LED Insert Single Light Kit, 9-32 Vdc w/ 25’ 5-wire harness: includes insert, Lens #1 (Extreme Angle) &amp; Inline Flasher</t>
  </si>
  <si>
    <t>ELUC3H025W</t>
  </si>
  <si>
    <t>Universal UnderCover Screw-In LED Insert Single Light Kit, 9-32 Vdc w/ 25’ 5-wire harness: includes insert, Lens #1 (Extreme Angle) &amp; Inline Flasher – Single Color White</t>
  </si>
  <si>
    <t>EOVREBZA</t>
  </si>
  <si>
    <t>6" Oval Recess Mount Light w/ Rubber Grommet - Clear Lens/Amber LEDs</t>
  </si>
  <si>
    <t>EOVREBZG</t>
  </si>
  <si>
    <t>6" Oval Recess Mount Light w/ Rubber Grommet, 10-16v - Clear Lens/Green LEDs</t>
  </si>
  <si>
    <t>EXFS10001-A</t>
  </si>
  <si>
    <t>XF Flush Mount Light, 10-30 Volts, 9.8" Cable, SAE J595 Class 1, CISPR 25, CA Title 13, ECE R65 &amp; R10 - Single Color Amber</t>
  </si>
  <si>
    <t>EXFS10001-B</t>
  </si>
  <si>
    <t>XF Flush Mount Light, 10-30 Volts, 9.8" Cable, SAE J595 Class 1, CISPR 25, CA Title 13, ECE R65 &amp; R10 - Single Color Blue</t>
  </si>
  <si>
    <t>EXFS10001-R</t>
  </si>
  <si>
    <t>XF Flush Mount Light, 10-30 Volts, 9.8" Cable, SAE J595 Class 1, CISPR 25, CA Title 13, ECE R65 &amp; R10 - Single Color Red</t>
  </si>
  <si>
    <t>EXFS10001-W</t>
  </si>
  <si>
    <t>XF Flush Mount Light, 10-30 Volts, 9.8" Cable, SAE J595 Class 1, CISPR 25, CA Title 13, ECE R65 &amp; R10 - Single Color White</t>
  </si>
  <si>
    <t>EXFS10002-D</t>
  </si>
  <si>
    <t>XF Flush Mount Light, 10-30 Volts, 9.8" Cable, SAE J595 Class 1, CISPR 25, CA Title 13, ECE R65 &amp; R10 - Dual Color Red/White</t>
  </si>
  <si>
    <t>EXFS10002-E</t>
  </si>
  <si>
    <t>XF Flush Mount Light, 10-30 Volts, 9.8" Cable, SAE J595 Class 1, CISPR 25, CA Title 13, ECE R65 &amp; R10 - Dual Color Blue/White</t>
  </si>
  <si>
    <t>EXFS10002-F</t>
  </si>
  <si>
    <t>XF Flush Mount Light, 10-30 Volts, 9.8" Cable, SAE J595 Class 1, CISPR 25, CA Title 13, ECE R65 &amp; R10 - Dual Color Amber/White</t>
  </si>
  <si>
    <t>EXFS10002-J</t>
  </si>
  <si>
    <t>XF Flush Mount Light, 10-30 Volts, 9.8" Cable, SAE J595 Class 1, CISPR 25, CA Title 13, ECE R65 &amp; R10 - Dual Color Red/Blue</t>
  </si>
  <si>
    <t>EXFS10002-K</t>
  </si>
  <si>
    <t>XF Flush Mount Light, 10-30 Volts, 9.8" Cable, SAE J595 Class 1, CISPR 25, CA Title 13, ECE R65 &amp; R10 - Dual Color Red/Amber</t>
  </si>
  <si>
    <t>EXFS10002-M</t>
  </si>
  <si>
    <t>XF Flush Mount Light, 10-30 Volts, 9.8" Cable, SAE J595 Class 1, CISPR 25, CA Title 13, ECE R65 &amp; R10 - Dual Color Blue/Amber</t>
  </si>
  <si>
    <t>EXFS10002-P</t>
  </si>
  <si>
    <t>XF Flush Mount Light, 10-30 Volts, 9.8" Cable, SAE J595 Class 1, CISPR 25, CA Title 13, ECE R65 &amp; R10 - Dual Color Green/Amber</t>
  </si>
  <si>
    <t>200 Series Compact Siren, ECE R10.05 Certified, w/ Remote Amplifier &amp; Remote Switch Panel, 10-30v - 100 watt single-tone</t>
  </si>
  <si>
    <t>ETSA200RA</t>
  </si>
  <si>
    <t>200 Series Compact Siren, ECE R10.05 Certified, w/ Remote Amplifier &amp; Remote Switch Panel, 10-30v - 100 watt single-tone w/ Molex Connector &amp; Mating Harness</t>
  </si>
  <si>
    <t>ETSA200RW</t>
  </si>
  <si>
    <t>200 Series Compact Siren, ECE R10.05 Certified, w/ Remote Amplifier &amp; Remote Switch Panel, 10-30v - 100 watt single-tone w/ Delphi Connector &amp; Mating Harness</t>
  </si>
  <si>
    <t>ETSAFR100</t>
  </si>
  <si>
    <t>FR100 Series Siren w/ PA function, 200 watt single tone, SAE J1849, CA Title 13 &amp; ECE R10</t>
  </si>
  <si>
    <t>ETSA481CSP</t>
  </si>
  <si>
    <t>nERGY 400 Series Console Siren w/ Button Control, 10-16v - 100 watt single-tone</t>
  </si>
  <si>
    <t>ETSA483CSP</t>
  </si>
  <si>
    <t>ETSA482CSP</t>
  </si>
  <si>
    <t>nERGY 400 Series Console Siren w/ Button Control, 10-16v - 200 watt dual-tone</t>
  </si>
  <si>
    <t>ETSA482CSR</t>
  </si>
  <si>
    <t>nERGY 400 Series Console Siren w/ Knob Control, 10-16v - 200 watt dual-tone</t>
  </si>
  <si>
    <t>ETSA484CSP</t>
  </si>
  <si>
    <t>ETSA481CSR</t>
  </si>
  <si>
    <t>nERGY 400 Series Console Siren w/ Knob Control, 10-16v - 100 watt single-tone</t>
  </si>
  <si>
    <t>ETSA483CSR</t>
  </si>
  <si>
    <t>ETSA461HPP-EXT</t>
  </si>
  <si>
    <t>nERGY 400 Series Handheld Remote Siren w/ 13 ft coil cable length, 10-16v - 100 watt single-tone</t>
  </si>
  <si>
    <t>ETSA462HPP</t>
  </si>
  <si>
    <t>nERGY 400 Series Handheld Remote Siren, 10-16v - 200 watt dual-tone</t>
  </si>
  <si>
    <t>ETSA462HPP-EXT</t>
  </si>
  <si>
    <t>nERGY 400 Series Handheld Remote Siren w/ 13 Ft coil cable length, 10-16v - 200 watt dual-tone</t>
  </si>
  <si>
    <t>ETSA481RSP</t>
  </si>
  <si>
    <t>nERGY 400 Series Remote Siren w/ Button Control, 10-16v - 100 watt single-tone</t>
  </si>
  <si>
    <t>ETSA481RSR</t>
  </si>
  <si>
    <t>nERGY 400 Series Remote Siren w/ Knob Control, 10-16v - 100 watt single-tone</t>
  </si>
  <si>
    <t>ETSA482RSR</t>
  </si>
  <si>
    <t>nERGY 400 Series Remote Siren w/ Knob Control, 10-16v - 200 watt dual-tone</t>
  </si>
  <si>
    <t>ETSA484CSR</t>
  </si>
  <si>
    <t>ETSS100J5</t>
  </si>
  <si>
    <t>100J Series Composite Speaker w/ Universal Bail Bracket - 100 watt</t>
  </si>
  <si>
    <t>ETSS100N</t>
  </si>
  <si>
    <t>100N Series Composite Speaker w/ Universal Bail Bracket - 100 watt</t>
  </si>
  <si>
    <t>ETSS100U</t>
  </si>
  <si>
    <t>100U Series Composite Speaker w/ Universal Bail Bracket - 100 watt</t>
  </si>
  <si>
    <t>ETSS050M</t>
  </si>
  <si>
    <t>50M Speaker - 50 watt, for use with motorcycles and other non-standard and emergency vehicles</t>
  </si>
  <si>
    <t>ETSSLF100</t>
  </si>
  <si>
    <t>Low Frequency Speaker, 100 Watt w/ Universal Bracket</t>
  </si>
  <si>
    <t>EWLPT004</t>
  </si>
  <si>
    <t>Banksman BM3 Exterior Light, Manoeuvring Light, ECE Regulation 23 approved, Black Finish, 956 Lumens with a light spread of 20m2, White</t>
  </si>
  <si>
    <t>EWLPT001</t>
  </si>
  <si>
    <t>Calisto Compact Interior Light, E-type approved, Brushed Chrome Finish, 160 Lumens, White</t>
  </si>
  <si>
    <t>EWLA0500DBDF0W</t>
  </si>
  <si>
    <t>500 Lumen PAR 36 LED Work Light w/ U-bracket, Flood Lens, 10-50v - White</t>
  </si>
  <si>
    <t>EWLA1000DBDF0W</t>
  </si>
  <si>
    <t>1000 Lumen PAR 36 LED Work Light w/ U-bracket, Flood Lens, 10-50v - White</t>
  </si>
  <si>
    <t>EWLB1400DBDF0W</t>
  </si>
  <si>
    <t>1400 Lumen PAR 36 LED Work Light w/ U-bracket, Flood Lens, 10-16v - White</t>
  </si>
  <si>
    <t>ESL461WC</t>
  </si>
  <si>
    <t>PAR 46 Unity® Spotlight LED Insert - White LEDs</t>
  </si>
  <si>
    <t>EWLPT005</t>
  </si>
  <si>
    <t>Scenelite SI7 Exterior Light, E-type approved, Black Finish, 1560 Lumens with a light spread of 30m2, White</t>
  </si>
  <si>
    <t>PNSLBTD12A</t>
  </si>
  <si>
    <t>12" Lens for nFUSE® Lightbar, Short, Amber</t>
  </si>
  <si>
    <t>PNSLBTD12B</t>
  </si>
  <si>
    <t>12" Lens for nFUSE® Lightbar, Short, Blue</t>
  </si>
  <si>
    <t>PNSLBTD12C</t>
  </si>
  <si>
    <t>12" Lens for nFUSE® Lightbar, Short, Clear</t>
  </si>
  <si>
    <t>PNSLBTD12R</t>
  </si>
  <si>
    <t>12" Lens for nFUSE® Lightbar, Short, Red</t>
  </si>
  <si>
    <t>PNSLBTD12T</t>
  </si>
  <si>
    <t>12" Lens for nFUSE® Lightbar, Short, Tinted</t>
  </si>
  <si>
    <t>PNSLBTD12W</t>
  </si>
  <si>
    <t>12" Lens for nFUSE® Lightbar, Short, Opal</t>
  </si>
  <si>
    <t>PNXLBTD12A</t>
  </si>
  <si>
    <t>12" Lens for nFUSE® XL Lightbar, Tall, Amber</t>
  </si>
  <si>
    <t>PNXLBTD12B</t>
  </si>
  <si>
    <t>12" Lens for nFUSE® XL Lightbar, Tall, Blue</t>
  </si>
  <si>
    <t>PNXLBTD12C</t>
  </si>
  <si>
    <t>12" Lens for nFUSE® XL Lightbar, Tall, Clear</t>
  </si>
  <si>
    <t>PNXLBTD12R</t>
  </si>
  <si>
    <t>12" Lens for nFUSE® XL Lightbar, Tall, Red</t>
  </si>
  <si>
    <t>PNXLBTD12T</t>
  </si>
  <si>
    <t>12" Lens for nFUSE® XL Lightbar, Tall, Tinted</t>
  </si>
  <si>
    <t>PNSLBTDECA</t>
  </si>
  <si>
    <t>12" Outer Lens for nFUSE® Lightbar, Short, Amber</t>
  </si>
  <si>
    <t>PNSLBTDECB</t>
  </si>
  <si>
    <t>12" Outer Lens for nFUSE® Lightbar, Short, Blue</t>
  </si>
  <si>
    <t>PNSLBTDECC</t>
  </si>
  <si>
    <t>12" Outer Lens for nFUSE® Lightbar, Short, Clear</t>
  </si>
  <si>
    <t>PNSLBTDECR</t>
  </si>
  <si>
    <t>12" Outer Lens for nFUSE® Lightbar, Short, Red</t>
  </si>
  <si>
    <t>PNSLBTDECT</t>
  </si>
  <si>
    <t>12" Outer Lens for nFUSE® Lightbar, Short, Tinted</t>
  </si>
  <si>
    <t>PNXLBTDECA</t>
  </si>
  <si>
    <t>12" Outer Lens for nFUSE® XL Lightbar, Tall, Amber</t>
  </si>
  <si>
    <t>PNXLBTDECB</t>
  </si>
  <si>
    <t>12" Outer Lens for nFUSE® XL Lightbar, Tall, Blue</t>
  </si>
  <si>
    <t>PNXLBTDECC</t>
  </si>
  <si>
    <t>12" Outer Lens for nFUSE® XL Lightbar, Tall, Clear</t>
  </si>
  <si>
    <t>PNXLBTDECR</t>
  </si>
  <si>
    <t>12" Outer Lens for nFUSE® XL Lightbar, Tall, Red</t>
  </si>
  <si>
    <t>PNXLBTDECT</t>
  </si>
  <si>
    <t>12" Outer Lens for nFUSE® XL Lightbar, Tall, Tinted</t>
  </si>
  <si>
    <t>15' Power Harness</t>
  </si>
  <si>
    <t>PNXLBHNPW1</t>
  </si>
  <si>
    <t>15' Standard Power Harness for 36" to 72" nFUSE® XL Lightbar</t>
  </si>
  <si>
    <t>PNXLBHNPW3</t>
  </si>
  <si>
    <t>15' Standard Power Harness for 24" nFUSE® XL Lightbar</t>
  </si>
  <si>
    <t>PNSLBHNPW1</t>
  </si>
  <si>
    <t>15' Standard Power Harness for use with nFUSE® Lightbar</t>
  </si>
  <si>
    <t>25' Power Harness</t>
  </si>
  <si>
    <t>PNXLBHNPW2</t>
  </si>
  <si>
    <t>25' Standard Power Harness for 36" to 72" nFUSE® XL Lightbar</t>
  </si>
  <si>
    <t>PNXLBHNPW4</t>
  </si>
  <si>
    <t>25' Standard Power Harness for 24" nFUSE® XL Lightbar</t>
  </si>
  <si>
    <t>PNSLBHNPW2</t>
  </si>
  <si>
    <t>25' Standard Power Harness for use with nFUSE® Lightbar</t>
  </si>
  <si>
    <t>4 Button Controller</t>
  </si>
  <si>
    <t>PCPNR401</t>
  </si>
  <si>
    <t>6" Base Housing</t>
  </si>
  <si>
    <t>PNULBBC06</t>
  </si>
  <si>
    <t>PNFSLSRVMTB</t>
  </si>
  <si>
    <t>nFORCE® 6" Oval Recess Mount Grommet &amp; Housing, Black</t>
  </si>
  <si>
    <t>PNSLBTD06A</t>
  </si>
  <si>
    <t>6" Lens for nFUSE® Lightbar, Short, Amber</t>
  </si>
  <si>
    <t>PNSLBTD06B</t>
  </si>
  <si>
    <t>6" Lens for nFUSE® Lightbar, Short, Blue</t>
  </si>
  <si>
    <t>PNSLBTD06C</t>
  </si>
  <si>
    <t>6" Lens for nFUSE® Lightbar, Short, Clear</t>
  </si>
  <si>
    <t>PNSLBTD06R</t>
  </si>
  <si>
    <t>6" Lens for nFUSE® Lightbar, Short, Red</t>
  </si>
  <si>
    <t>PNSLBTD06T</t>
  </si>
  <si>
    <t>6" Lens for nFUSE® Lightbar, Short, Tinted</t>
  </si>
  <si>
    <t>PNSLBTD06W</t>
  </si>
  <si>
    <t>6" Lens for nFUSE® Lightbar, Short, Opal</t>
  </si>
  <si>
    <t>PNXLBTD06A</t>
  </si>
  <si>
    <t>6" Lens for nFUSE® XL Lightbar, Tall, Amber</t>
  </si>
  <si>
    <t>PNXLBTD06B</t>
  </si>
  <si>
    <t>6" Lens for nFUSE® XL Lightbar, Tall, Blue</t>
  </si>
  <si>
    <t>PNXLBTD06C</t>
  </si>
  <si>
    <t>6" Lens for nFUSE® XL Lightbar, Tall, Clear</t>
  </si>
  <si>
    <t>PNXLBTD06R</t>
  </si>
  <si>
    <t>6" Lens for nFUSE® XL Lightbar, Tall, Red</t>
  </si>
  <si>
    <t>PNXLBTD06T</t>
  </si>
  <si>
    <t>6" Lens for nFUSE® XL Lightbar, Tall, Tinted</t>
  </si>
  <si>
    <t>PSRN4ANR1</t>
  </si>
  <si>
    <t>Replacement Amplifier Box - 100w for use w/ #ETSA481RSP, ETSA481RSR, ETSA461HPP</t>
  </si>
  <si>
    <t>PSRN4ANR2</t>
  </si>
  <si>
    <t>Replacement Amplifier Box - 200w for use w/ #ETSA482RSP</t>
  </si>
  <si>
    <t>PNSLBHNAY1</t>
  </si>
  <si>
    <t>Auto Dim Alley Y-Harness for use with nFUSE® &amp; nFUSE® XL Lightbar</t>
  </si>
  <si>
    <t>PNSLBDAD1</t>
  </si>
  <si>
    <t>Auto Dim Board (ALS) for use with nFUSE® &amp; nFUSE® XL Lightbars</t>
  </si>
  <si>
    <t>Auto Dim Mod ID Board</t>
  </si>
  <si>
    <t>PMPLBDAD1</t>
  </si>
  <si>
    <t>PNFLBDAD1</t>
  </si>
  <si>
    <t>PNNBCDAD01</t>
  </si>
  <si>
    <t>PNULBDAD1</t>
  </si>
  <si>
    <t>PNNLBDAD2</t>
  </si>
  <si>
    <t>Auto Dim Mod ID Board for Clear Top Cover</t>
  </si>
  <si>
    <t>PNNLBDAD1</t>
  </si>
  <si>
    <t>Auto Dim Mod ID Board for Colored Top Cover</t>
  </si>
  <si>
    <t>PNFLBTADRLGY</t>
  </si>
  <si>
    <t>Auto Dim Replacement Kit, includes: 1 Auto Dim Driver Board, 1 Top Cover Lexan Gray Driver Side, 1 Driver Board for all lengths 36" thru 77", 10-16 volt</t>
  </si>
  <si>
    <t>PNFLBTRDRLBL</t>
  </si>
  <si>
    <t>Auto Dim Retro Fit Kit for nFORCE® Exterior Lightbar: includes Auto Dim Driver Board, Mounting Hardware, Top Cover w/ Harnesses Lexan, Blue - Driver side</t>
  </si>
  <si>
    <t>PNFLBTRDRLGY</t>
  </si>
  <si>
    <t>Auto Dim Retro Fit Kit for nFORCE® Exterior Lightbar: includes Auto Dim Driver Board, Mounting Hardware, Top Cover w/ Harnesses Lexan, Graphite - Driver side</t>
  </si>
  <si>
    <t>PNFLBTRDRLRD</t>
  </si>
  <si>
    <t>Auto Dim Retro Fit Kit for nFORCE® Exterior Lightbar: includes Auto Dim Driver Board, Mounting Hardware, Top Cover w/ Harnesses Lexan, Red - Driver side</t>
  </si>
  <si>
    <t>PNFLBTRDRLYL</t>
  </si>
  <si>
    <t>Auto Dim Retro Fit Kit for nFORCE® Exterior Lightbar: includes Auto Dim Driver Board, Mounting Hardware, Top Cover w/ Harnesses Lexan, Amber - Driver side</t>
  </si>
  <si>
    <t>PNSLBBL01</t>
  </si>
  <si>
    <t>Backlight with Harness for use with nFUSE® Lightbars</t>
  </si>
  <si>
    <t>PSP0BRK</t>
  </si>
  <si>
    <t>Universal Bail Bracket for #ETSP9F &amp; #ETSP6F Switches - Black</t>
  </si>
  <si>
    <t>PSRNBLBK1</t>
  </si>
  <si>
    <t>Bail Bracket Kit for use w/ #ETSA481RSP, #ETSA482RSP</t>
  </si>
  <si>
    <t>PSRNBLBK2</t>
  </si>
  <si>
    <t>Bail Bracket Kit for use w/#ETSA481CSR, #ETSA482CSR</t>
  </si>
  <si>
    <t>PSRNBLBK3</t>
  </si>
  <si>
    <t>Bail Bracket Kit for use w/#ETSA481RSR, #ETSA482RSR</t>
  </si>
  <si>
    <t>PSS100JBK001</t>
  </si>
  <si>
    <t>Bail Bracket for 100J Speaker</t>
  </si>
  <si>
    <t>PFDBCHDK3</t>
  </si>
  <si>
    <t>Metal Base Plate Kit</t>
  </si>
  <si>
    <t>PNRBCPLGS</t>
  </si>
  <si>
    <t>Beacon Base Plate Kit, includes: Base Plate, Gasket &amp; Mounting hardware - for use with nROADS® Permanent Mount</t>
  </si>
  <si>
    <t>PNNBCBS001</t>
  </si>
  <si>
    <t>Beacon Base (goes on top of the mount base)</t>
  </si>
  <si>
    <t>PNNBCDMHRC</t>
  </si>
  <si>
    <t>Beacon Dome, Red Top, Clear Bottom</t>
  </si>
  <si>
    <t>Beacon Driver Board</t>
  </si>
  <si>
    <t>PNNBCDRV01</t>
  </si>
  <si>
    <t>PNNBCGS002</t>
  </si>
  <si>
    <t>Beacon F-Gasket (goes around the base)</t>
  </si>
  <si>
    <t>PNNBCLD24D</t>
  </si>
  <si>
    <t>Replacement Light Module for Beacon - 24 LED Dual Color, Red/White LEDs</t>
  </si>
  <si>
    <t>PNNBCLS12R</t>
  </si>
  <si>
    <t>Replacement Upward Light Module for Beacons - 12 LED Single Color, Red LEDs</t>
  </si>
  <si>
    <t>PNNBCMNT01</t>
  </si>
  <si>
    <t>PNNBCGS001</t>
  </si>
  <si>
    <t>Beacon O-Ring (goes into the groove in the mount base)</t>
  </si>
  <si>
    <t>Beacon Reflector</t>
  </si>
  <si>
    <t>PNNBCRF001</t>
  </si>
  <si>
    <t>Beacon Roof Grommet</t>
  </si>
  <si>
    <t>PNNBCGM001</t>
  </si>
  <si>
    <t>PNNBCHK002</t>
  </si>
  <si>
    <t>Beacon Set Screw (holds the base to the mount base)</t>
  </si>
  <si>
    <t>Beacon Trim Ring</t>
  </si>
  <si>
    <t>PNNBCTR001</t>
  </si>
  <si>
    <t>PNFLBLN0000</t>
  </si>
  <si>
    <t>Blank Module Population Kit - populates up to 6 blank modules</t>
  </si>
  <si>
    <t>PNFLBLS000X</t>
  </si>
  <si>
    <t>Blank Module Population Kit - populates 1 blank module</t>
  </si>
  <si>
    <t>Bracket for Blank Module</t>
  </si>
  <si>
    <t>PNULBLSN0000</t>
  </si>
  <si>
    <t>PSRNHHBK1</t>
  </si>
  <si>
    <t>Bracket Holster for use w/ #ETSA461HPP, #ETSA462HPP</t>
  </si>
  <si>
    <t>PESB41BG4</t>
  </si>
  <si>
    <t>4" Branch Guard for Beacons (fits 3000, 4200 4500 &amp; 4800 Series)</t>
  </si>
  <si>
    <t>PESB41BG6</t>
  </si>
  <si>
    <t>6" Branch Guard for Beacons (fits 3000, 4200 4500 &amp; 4800 Series)</t>
  </si>
  <si>
    <t>PNFLBJ00</t>
  </si>
  <si>
    <t>nFORCE® Exterior Lightbar Breakout Box - LIN Communication (standard)</t>
  </si>
  <si>
    <t>PNFLBJC1</t>
  </si>
  <si>
    <t>nFORCE® Exterior Lightbar Breakout Box - CAN Communication</t>
  </si>
  <si>
    <t>PUVBBJC1</t>
  </si>
  <si>
    <t>External Breakout Box for Exterior Lightbars CAN Communication</t>
  </si>
  <si>
    <t>PNFLBHNDT3</t>
  </si>
  <si>
    <t>Exterior Lightbar 50' Data Cable for Breakout Box</t>
  </si>
  <si>
    <t>PUL3MS</t>
  </si>
  <si>
    <t>Replacement Center Spacer for UltraLITE Bars - used between modules (each)</t>
  </si>
  <si>
    <t>PFD4CCLBR1</t>
  </si>
  <si>
    <t>CHMSL Bezel for the Ford F-150 &amp; Super Duty 4-Corner Kit</t>
  </si>
  <si>
    <t>PFD4CCL1AAB</t>
  </si>
  <si>
    <t>Ford F-150 4-Corner CHMSL Bezel w/ Intersector Surface Mount Lights, F150 2014-2022 &amp; SuperDuty 2017-2022, Clear Lens/Solid Color Amber LEDs</t>
  </si>
  <si>
    <t>PFD4CCL1BBB</t>
  </si>
  <si>
    <t>Ford F-150 4-Corner CHMSL Bezel w/ Intersector Surface Mount Lights - Clear Lens/Solid Color Blue LEDs</t>
  </si>
  <si>
    <t>PFD4CCL1DDB</t>
  </si>
  <si>
    <t>Ford F-150 4-Corner CHMSL Bezel w/ Intersector Surface Mount Lights - Clear Lens/Dual Color Red &amp; White LEDs</t>
  </si>
  <si>
    <t>PFD4CCL1EEB</t>
  </si>
  <si>
    <t>Ford F-150 4-Corner CHMSL Bezel w/ Intersector Surface Mount Lights - Clear Lens/Dual Color Blue &amp; White LEDs</t>
  </si>
  <si>
    <t>PFD4CCL1FFB</t>
  </si>
  <si>
    <t>Ford F-150 4-Corner CHMSL Bezel w/ Intersector Surface Mount Lights - Clear Lens/Dual Color Amber &amp; White LEDs</t>
  </si>
  <si>
    <t>PFD4CCL1HHB</t>
  </si>
  <si>
    <t>Ford F-150 4-Corner CHMSL Bezel w/ Intersector Surface Mount Lights - Clear Lens/Dual Color Green &amp; White LEDs</t>
  </si>
  <si>
    <t>PFD4CCL1JJB</t>
  </si>
  <si>
    <t>Ford F-150 4-Corner CHMSL Bezel w/ Intersector Surface Mount Lights - Clear Lens/Dual Color Red &amp; Blue LEDs</t>
  </si>
  <si>
    <t>PFD4CCL1KKB</t>
  </si>
  <si>
    <t>Ford F-150 4-Corner CHMSL Bezel w/ Intersector Surface Mount Lights - Clear Lens/Dual Color Red &amp; Amber LEDs</t>
  </si>
  <si>
    <t>PFD4CCL1PPB</t>
  </si>
  <si>
    <t>Ford F-150 4-Corner CHMSL Bezel w/ Intersector Surface Mount Lights - Clear Lens/Dual Color Green &amp; Amber LEDs</t>
  </si>
  <si>
    <t>PFD4CCL1RRB</t>
  </si>
  <si>
    <t>Ford F-150 4-Corner CHMSL Bezel w/ Intersector Surface Mount Lights - Clear Lens/Solid Color Green &amp; Amber LEDs</t>
  </si>
  <si>
    <t>PFD4CCL1WWB</t>
  </si>
  <si>
    <t>Ford F-150 4-Corner CHMSL Bezel w/ Intersector Surface Mount Lights - Clear Lens/White LEDs</t>
  </si>
  <si>
    <t>PFD4CCLAAB</t>
  </si>
  <si>
    <t>Ford F250 4-Corner CHMSL Bezel w/ Intersector Surface Mount Lights, SuperDuty 2014-2016, Clear Lens/Amber LEDs</t>
  </si>
  <si>
    <t>PMB3CGPG</t>
  </si>
  <si>
    <t>Replacement 12v Cigar Plug w/ 3-Position Rocker Switch, LED Indicator Light &amp; 10 ft cord for EPL7000 &amp; LED3 Mini Lightbars</t>
  </si>
  <si>
    <t>PEMG2DVDLC</t>
  </si>
  <si>
    <t>Magnum (EMG2000) Clear Lexan Divider</t>
  </si>
  <si>
    <t>PEMG2DVDXC</t>
  </si>
  <si>
    <t>Magnum (EMG2000) Clear Xylex Divider</t>
  </si>
  <si>
    <t>PNULBTDVD1</t>
  </si>
  <si>
    <t>Clear Lexan Divider</t>
  </si>
  <si>
    <t>E360DC6</t>
  </si>
  <si>
    <t>Clear Dust Cover - CA Title 13 compliancy (fits 3000, 4200, 4500 &amp; 4800 Series Beacons, 4" &amp; 6" Dome Heights</t>
  </si>
  <si>
    <t>PNSLBDRV2</t>
  </si>
  <si>
    <t>Combination Board, Driver &amp; Distribution for use with 24" nFUSE® XL Lightbar</t>
  </si>
  <si>
    <t>PMPGLK00B</t>
  </si>
  <si>
    <t>Combination Mount Kit for Permanent or Pipe - Black</t>
  </si>
  <si>
    <t>PMPGLK00S</t>
  </si>
  <si>
    <t>Combination Mount Kit for Permanent or Pipe - Silver</t>
  </si>
  <si>
    <t>Connect-n-Go Hand-held Controller</t>
  </si>
  <si>
    <t>PCPNRCNG1</t>
  </si>
  <si>
    <t>PSRN4CTRL2</t>
  </si>
  <si>
    <t>Replacement Console Face Panel for #ETSA48(x)CSP</t>
  </si>
  <si>
    <t>PSRN4CTRL3</t>
  </si>
  <si>
    <t>Replacement Console Face Panel for #ETSA48(x)CSR</t>
  </si>
  <si>
    <t>PSRN4CTRL1</t>
  </si>
  <si>
    <t>Replacement Control Panel for use w/ #ETSA481RSP, #ETSA482RSP</t>
  </si>
  <si>
    <t>ETRDSA002</t>
  </si>
  <si>
    <t>Hand-held Controller for use with Rapid Deployment Vehicle Warning Kit</t>
  </si>
  <si>
    <t>PSRN4CTRL4</t>
  </si>
  <si>
    <t>Replacement Controller (only) for use w/ #ETSA481RSR, #ETSA482RSR</t>
  </si>
  <si>
    <t>PSRNHHC1</t>
  </si>
  <si>
    <t>Handheld Controller (only) for use w/ ETSA385HR, ETSA461HPP, ETSA462HPP</t>
  </si>
  <si>
    <t>PSRNHHC2</t>
  </si>
  <si>
    <t>Handheld Controller (only) with 13' coil cable length for use w/ Handheld Remote Sirens</t>
  </si>
  <si>
    <t>PMP1HK04</t>
  </si>
  <si>
    <t>D-Pillar Adhesive Strip Kit compatible with 3" mpower® stud and quick mount Fascia lights</t>
  </si>
  <si>
    <t>PMP1HK01</t>
  </si>
  <si>
    <t>D-Pillar Hardware Kit for Chevrolet Tahoe 2021-2023, compatible with 3" mpower® quick mount fascia lights</t>
  </si>
  <si>
    <t>PMP1HK02</t>
  </si>
  <si>
    <t>D-Pillar Hardware Kit for Ford Utility 2020-2023, compatible with 3" mpower® quick mount fascia lights</t>
  </si>
  <si>
    <t>PMP1HK03</t>
  </si>
  <si>
    <t>D-Pillar Tinnerman Clip compatible with 3" mpower® stud and quick mount Fascia lights</t>
  </si>
  <si>
    <t>PNFLBHNDT1</t>
  </si>
  <si>
    <t>nFORCE® Exterior Lightbar Data Cable for Breakout Box</t>
  </si>
  <si>
    <t>Distribution Board</t>
  </si>
  <si>
    <t>PMPGLDST1</t>
  </si>
  <si>
    <t>Distribution Board (without sensor)</t>
  </si>
  <si>
    <t>PNFLBDST1</t>
  </si>
  <si>
    <t>nFORCE® Exterior Lightbar Distribution Board - 30"-54"</t>
  </si>
  <si>
    <t>PNFLBDST2</t>
  </si>
  <si>
    <t>nFORCE® Exterior Lightbar Distribution Board - 60"-72"</t>
  </si>
  <si>
    <t>PNNLBDST1</t>
  </si>
  <si>
    <t>Exterior Lightbar Distribution Board - 36"-72"</t>
  </si>
  <si>
    <t>PNULBDST1</t>
  </si>
  <si>
    <t>PNULBTDMLC</t>
  </si>
  <si>
    <t>12" Dome - Clear</t>
  </si>
  <si>
    <t>PNULBTDMLS</t>
  </si>
  <si>
    <t>12" Dome - Tinted</t>
  </si>
  <si>
    <t>ET2BLLA</t>
  </si>
  <si>
    <t>Replacement Dome, 4” (fits 3000, 4000 &amp; 4500 Series Beacons) - Amber</t>
  </si>
  <si>
    <t>ET2BLLB</t>
  </si>
  <si>
    <t>Replacement Dome, 4” (fits 3000, 4000 &amp; 4500 Series Beacons) - Blue</t>
  </si>
  <si>
    <t>ET2BLLC</t>
  </si>
  <si>
    <t>Replacement Dome, 4” (fits 3000, 4000 &amp; 4500 Series Beacons) - Clear</t>
  </si>
  <si>
    <t>ET2BLLG</t>
  </si>
  <si>
    <t>Replacement Dome, 4” (fits 3000, 4000 &amp; 4500 Series Beacons) - Green</t>
  </si>
  <si>
    <t>ET2BLLR</t>
  </si>
  <si>
    <t>Replacement Dome, 4” (fits 3000, 4000 &amp; 4500 Series Beacons) - Red</t>
  </si>
  <si>
    <t>ET2BLTA</t>
  </si>
  <si>
    <t>Replacement Dome, 6” (fits 3000, 4000 &amp; 4500 Series Beacons) - Amber</t>
  </si>
  <si>
    <t>ET2BLTB</t>
  </si>
  <si>
    <t>Replacement Dome, 6” (fits 3000, 4000 &amp; 4500 Series Beacons) - Blue</t>
  </si>
  <si>
    <t>ET2BLTC</t>
  </si>
  <si>
    <t>Replacement Dome, 6” (fits 3000, 4000 &amp; 4500 Series Beacons) - Clear</t>
  </si>
  <si>
    <t>ET2BLTG</t>
  </si>
  <si>
    <t>Replacement Dome, 6” (fits 3000, 4000 &amp; 4500 Series Beacons) - Green</t>
  </si>
  <si>
    <t>ET2BLTR</t>
  </si>
  <si>
    <t>Replacement Dome, 6” (fits 3000, 4000 &amp; 4500 Series Beacons) - Red</t>
  </si>
  <si>
    <t>PNULBTDMSC</t>
  </si>
  <si>
    <t>6" Dome - Clear</t>
  </si>
  <si>
    <t>PNULBTDMSS</t>
  </si>
  <si>
    <t>6" Dome - Tinted</t>
  </si>
  <si>
    <t>PNFLBTBDRLA</t>
  </si>
  <si>
    <t>nFORCE® Exterior Lightbar Bottom Lens Lexan Amber, Driver Side</t>
  </si>
  <si>
    <t>PNFLBTBDRLB</t>
  </si>
  <si>
    <t>nFORCE® Exterior Lightbar Bottom Lens Lexan Blue, Driver Side</t>
  </si>
  <si>
    <t>PNFLBTBDRLC</t>
  </si>
  <si>
    <t>nFORCE® Exterior Lightbar Bottom Lens Lexan Clear - Driver Side</t>
  </si>
  <si>
    <t>PNFLBTBDRLR</t>
  </si>
  <si>
    <t>nFORCE® Exterior Lightbar Bottom Lens Lexan Red, Driver Side</t>
  </si>
  <si>
    <t>PNFLBTBLGLA</t>
  </si>
  <si>
    <t>nFORCE® Exterior Lightbar Bottom Lens Lexan Amber, Large</t>
  </si>
  <si>
    <t>PNFLBTBLGLB</t>
  </si>
  <si>
    <t>nFORCE® Exterior Lightbar Bottom Lens Lexan Blue, Large</t>
  </si>
  <si>
    <t>PNFLBTBLGLC</t>
  </si>
  <si>
    <t>nFORCE® Exterior Lightbar Bottom Lens Lexan Clear - Large</t>
  </si>
  <si>
    <t>PNFLBTBLGLR</t>
  </si>
  <si>
    <t>nFORCE® Exterior Lightbar Bottom Lens Lexan Red, Large</t>
  </si>
  <si>
    <t>PNFLBTBPSLA</t>
  </si>
  <si>
    <t>nFORCE® Exterior Lightbar Bottom Lens Lexan Amber, Passenger Side</t>
  </si>
  <si>
    <t>PNFLBTBPSLB</t>
  </si>
  <si>
    <t>nFORCE® Exterior Lightbar Bottom Lens Lexan Blue, Passenger Side</t>
  </si>
  <si>
    <t>PNFLBTBPSLC</t>
  </si>
  <si>
    <t>nFORCE® Exterior Lightbar Bottom Lens Lexan Clear - Passenger Side</t>
  </si>
  <si>
    <t>PNFLBTBPSLR</t>
  </si>
  <si>
    <t>nFORCE® Exterior Lightbar Bottom Lens Lexan Red, Passenger Side</t>
  </si>
  <si>
    <t>PNFLBTBSMLA</t>
  </si>
  <si>
    <t>nFORCE® Exterior Lightbar Bottom Lens Lexan Amber, Small</t>
  </si>
  <si>
    <t>PNFLBTBSMLB</t>
  </si>
  <si>
    <t>nFORCE® Exterior Lightbar Bottom Lens Lexan Blue, Small</t>
  </si>
  <si>
    <t>PNFLBTBSMLC</t>
  </si>
  <si>
    <t>nFORCE® Exterior Lightbar Bottom Lens Lexan Clear, Small</t>
  </si>
  <si>
    <t>PNFLBTBSMLR</t>
  </si>
  <si>
    <t>nFORCE® Exterior Lightbar Bottom Lens Lexan Red , Small</t>
  </si>
  <si>
    <t>PEMG2DECLA</t>
  </si>
  <si>
    <t>Magnum (EMG2000) End Cap Lexan Dome - Amber</t>
  </si>
  <si>
    <t>PEMG2DECLB</t>
  </si>
  <si>
    <t>Magnum (EMG2000) End Cap Lexan Dome - Blue</t>
  </si>
  <si>
    <t>PEMG2DECLC</t>
  </si>
  <si>
    <t>Magnum (EMG2000) End Cap Lexan Dome - Clear</t>
  </si>
  <si>
    <t>PEMG2DECLR</t>
  </si>
  <si>
    <t>Magnum (EMG2000) End Cap Lexan Dome - Red</t>
  </si>
  <si>
    <t>PNRLBDMECC</t>
  </si>
  <si>
    <t>Endcap Dome for nROADS® Mini or Mid-Size Lightbars - Clear</t>
  </si>
  <si>
    <t>PNULBTDECC</t>
  </si>
  <si>
    <t>End Cap Dome - Clear</t>
  </si>
  <si>
    <t>PNULBTDECS</t>
  </si>
  <si>
    <t>End Cap Dome - Tinted</t>
  </si>
  <si>
    <t>PNRBCDMHA</t>
  </si>
  <si>
    <t>High Dome for nROADS® Beacons - Amber</t>
  </si>
  <si>
    <t>PNRBCDMHC</t>
  </si>
  <si>
    <t>High Dome for nROADS® Beacons - Clear</t>
  </si>
  <si>
    <t>PEMG2DMLLA</t>
  </si>
  <si>
    <t>Magnum (EMG2000) Large Inner Lexan Dome&amp; - Amber</t>
  </si>
  <si>
    <t>PEMG2DMLLB</t>
  </si>
  <si>
    <t>Magnum (EMG2000) Large Inner Lexan Dome&amp; - Blue</t>
  </si>
  <si>
    <t>PEMG2DMLLC</t>
  </si>
  <si>
    <t>Magnum (EMG2000) Large Inner Lexan Dome - Clear</t>
  </si>
  <si>
    <t>PEMG2DMLLR</t>
  </si>
  <si>
    <t>Magnum (EMG2000) Large Inner Lexan Dome&amp; - Red</t>
  </si>
  <si>
    <t>PEMG2DMSLA</t>
  </si>
  <si>
    <t>Magnum (EMG2000) Small Inner Lexan Dome  - Amber</t>
  </si>
  <si>
    <t>PEMG2DMSLB</t>
  </si>
  <si>
    <t>Magnum (EMG2000) Small Inner Lexan Dome  - Blue</t>
  </si>
  <si>
    <t>PEMG2DMSLC</t>
  </si>
  <si>
    <t>Magnum (EMG2000) Small Inner Lexan Dome - Clear</t>
  </si>
  <si>
    <t>PEMG2DMSLR</t>
  </si>
  <si>
    <t>Magnum (EMG2000) Small Inner Lexan Dome  - Red</t>
  </si>
  <si>
    <t>PNRBCDMLA</t>
  </si>
  <si>
    <t>Low Dome for nROADS® Beacons - Amber</t>
  </si>
  <si>
    <t>PNRBCDMLC</t>
  </si>
  <si>
    <t>Low Dome for nROADS® Beacons - Clear</t>
  </si>
  <si>
    <t>PNRBCDMLR</t>
  </si>
  <si>
    <t>Low Dome for nROADS® Beacons - Red</t>
  </si>
  <si>
    <t>PNRLBDMMSC</t>
  </si>
  <si>
    <t>Middle Low Dome for nROADS® Mini or Mid-Size Lightbars - Clear</t>
  </si>
  <si>
    <t>PMB3TDA</t>
  </si>
  <si>
    <t>Color Outer Dome for Mini Lightbars - Amber</t>
  </si>
  <si>
    <t>PMB3TDC</t>
  </si>
  <si>
    <t>Clear Outer Dome for EPL7000 &amp; LED3 Mini Lightbars</t>
  </si>
  <si>
    <t>PLRDMLT</t>
  </si>
  <si>
    <t>Opaque White Replacement Lens for 6" Round Dome Lights</t>
  </si>
  <si>
    <t>PNRLBDMSTB</t>
  </si>
  <si>
    <t>Black Dome Strap for nROADS® Mini or Mid-Size Lightbars</t>
  </si>
  <si>
    <t>PNRBCDRNGB</t>
  </si>
  <si>
    <t>Black Dress Ring for nROADS® Beacons</t>
  </si>
  <si>
    <t>PNFLBRPCK2</t>
  </si>
  <si>
    <t>nFORCE® Exterior Lightbar Driver for 24", 10-16v</t>
  </si>
  <si>
    <t>PNFWBDRV01</t>
  </si>
  <si>
    <t>nFORCE® Interior Lightbar Driver Board w/DSC Technology (Breakout Box)</t>
  </si>
  <si>
    <t>PNFWBDRV02</t>
  </si>
  <si>
    <t>nFORCE® Interior Lightbar Driver Board for 12-wire Direct Connect</t>
  </si>
  <si>
    <t>PNRBCDRV1</t>
  </si>
  <si>
    <t>Driver Board without Connector for nROADS® Beacons, Mini or Mid-Size Lightbars</t>
  </si>
  <si>
    <t>PNRBCDRV2</t>
  </si>
  <si>
    <t>Driver Board with Connector for nROADS® Beacons</t>
  </si>
  <si>
    <t>PNSLBDRV1</t>
  </si>
  <si>
    <t>Driver Board for use with nFUSE® &amp; nFUSE® XL Lightbar</t>
  </si>
  <si>
    <t>PNULBDRV1</t>
  </si>
  <si>
    <t>Driver Board for 36" - 48" Lightbars</t>
  </si>
  <si>
    <t>PNULBDRV2</t>
  </si>
  <si>
    <t>Driver Board for 24" Lightbars</t>
  </si>
  <si>
    <t>PRMLBDRV1</t>
  </si>
  <si>
    <t>Exterior Lightbar Driver Board for Direct Connect</t>
  </si>
  <si>
    <t>PRMLBDRV2</t>
  </si>
  <si>
    <t>Exterior Lightbar Driver Board for Connect-n-Go</t>
  </si>
  <si>
    <t>PNFLBDCVR1</t>
  </si>
  <si>
    <t>nFORCE® Exterior Lightbar Driver Board Cover (Fish Paper )</t>
  </si>
  <si>
    <t>PMP1BK007-D</t>
  </si>
  <si>
    <t>Driver side mpower® D-Pillar Bracket replacement for 2020-2025 Ford Police Interceptor Utility, compatible with 3" mpower® stud mount fascia lights (for rear-facing application) and 3" mpower quick mount fascia lights (for optional side-facing application)</t>
  </si>
  <si>
    <t>PNNLBDRV2</t>
  </si>
  <si>
    <t>Exterior Lightbar Driver/Distribution Board - 24"</t>
  </si>
  <si>
    <t>PUL3EC</t>
  </si>
  <si>
    <t>Replacement End Cap for UltraLITE Bars - for use on either end (each)</t>
  </si>
  <si>
    <t>End Cap Base Housing</t>
  </si>
  <si>
    <t>PNULBBEC1</t>
  </si>
  <si>
    <t>PNFLBHT1</t>
  </si>
  <si>
    <t>End Cap Heat Sink Lug Kit for nFORCE® Exterior Lightbar</t>
  </si>
  <si>
    <t>End Cap Reflector</t>
  </si>
  <si>
    <t>PNNLBRFEC1</t>
  </si>
  <si>
    <t>PUL3ES</t>
  </si>
  <si>
    <t>Replacement End Spacer for UltraLITE Bars - for use on either end (each)</t>
  </si>
  <si>
    <t>PSRN4MCEXT</t>
  </si>
  <si>
    <t>12' Extension Cable for use with #ETSA481RSP, #ETSA482RSP</t>
  </si>
  <si>
    <t>PNFLBDRV1</t>
  </si>
  <si>
    <t>nFORCE® Exterior Lightbar Driver for all lengths 36" thru 72", 10-16v</t>
  </si>
  <si>
    <t>PNFLBDRV2</t>
  </si>
  <si>
    <t>nFORCE® Exterior Lightbar Driver (Power) 24", 10-16v</t>
  </si>
  <si>
    <t>PNFLBDRV3</t>
  </si>
  <si>
    <t>nFORCE® Exterior Lightbar Driver (Communication) 24", 10-16v</t>
  </si>
  <si>
    <t>PNNBCHN001</t>
  </si>
  <si>
    <t>External Power Harness, 12 ft</t>
  </si>
  <si>
    <t>PNRLBEXECB</t>
  </si>
  <si>
    <t>Black Extrusion Endcap for nROADS® Mini or Mid-Size Lightbars</t>
  </si>
  <si>
    <t>PMPGLK01B</t>
  </si>
  <si>
    <t>Flat Mount Kit - Black</t>
  </si>
  <si>
    <t>PMPGLK01S</t>
  </si>
  <si>
    <t>Flat Mount Kit - Silver</t>
  </si>
  <si>
    <t>PNNBCHK001</t>
  </si>
  <si>
    <t>Flat Surface Mount Gasket with Mounting Hardware for nFORCE® nxt Beacon</t>
  </si>
  <si>
    <t>PNFWBGKT01</t>
  </si>
  <si>
    <t>Foam Strip Kit includes (2) 30" strips</t>
  </si>
  <si>
    <t>PNFLBFTCV1</t>
  </si>
  <si>
    <t>Replacement Foot Cap for Standard Fixed Height Mount</t>
  </si>
  <si>
    <t>PFDBCHT1ACB</t>
  </si>
  <si>
    <t>Ford 360 Degree High Beacon Light - Clear Lens / Amber LEDs</t>
  </si>
  <si>
    <t>PFDBCLT2AAB</t>
  </si>
  <si>
    <t>Ford 360 Degree Beacon Light - Amber Lens / Amber LEDs</t>
  </si>
  <si>
    <t>PFDBCLT2ACB</t>
  </si>
  <si>
    <t>Ford 360 Degree Beacon Light - Clear Lens / Amber LEDs</t>
  </si>
  <si>
    <t>PFDBCLT2BCB</t>
  </si>
  <si>
    <t>Ford 360 Degree Beacon Light - Clear Lens / Blue LEDs</t>
  </si>
  <si>
    <t>PFDBCLT2RCB</t>
  </si>
  <si>
    <t>Ford 360 Degree Beacon Light - Clear Lens / Red LEDs</t>
  </si>
  <si>
    <t>PFDBCLT2WCB</t>
  </si>
  <si>
    <t>Ford 360 Degree Beacon Light - Clear Lens / White LEDs</t>
  </si>
  <si>
    <t>PSP0FC1</t>
  </si>
  <si>
    <t>Replacement Fuse Cover for #ETSP9F &amp; #ETSP6F Switches - Black</t>
  </si>
  <si>
    <t>PSRN4HDK2</t>
  </si>
  <si>
    <t>Fuse Kit for use w/ nERGY® 400 Series Sirens</t>
  </si>
  <si>
    <t>PEMG2GABL</t>
  </si>
  <si>
    <t>Magnum (EMG2000) Base Gasket, long 14 feet</t>
  </si>
  <si>
    <t>PEMG2GABS</t>
  </si>
  <si>
    <t>Magnum (EMG2000) Base Gasket, short 10 feet</t>
  </si>
  <si>
    <t>PMP8GK001</t>
  </si>
  <si>
    <t>Double Rubber Gasket for use with Bezel w/ 15 Degree Tilt</t>
  </si>
  <si>
    <t>PNFSLSSMGSB</t>
  </si>
  <si>
    <t>nFORCE® Single Surface Mount Gasket, Black</t>
  </si>
  <si>
    <t>PNULBGABL</t>
  </si>
  <si>
    <t>Base Gasket, long 14 feet</t>
  </si>
  <si>
    <t>PNULBGABS</t>
  </si>
  <si>
    <t>Base Gasket, short 10 feet</t>
  </si>
  <si>
    <t>PLUCPGR1</t>
  </si>
  <si>
    <t>Black Rubber Grommet for UnderCover Light (for push-in application)</t>
  </si>
  <si>
    <t>PNFDLRFGRB</t>
  </si>
  <si>
    <t>nFORCE® Single Recess Mount Grommet, Black</t>
  </si>
  <si>
    <t>PEMG2HDDR</t>
  </si>
  <si>
    <t>Magnum (EMG2000) Hardware Kit for Dome replacement</t>
  </si>
  <si>
    <t>PFD4CHDK1</t>
  </si>
  <si>
    <t>Ford 4-Corner Hardware Kit</t>
  </si>
  <si>
    <t>PFD4CHDK3</t>
  </si>
  <si>
    <t>Ford F-150 4-Corner Hardware Kit</t>
  </si>
  <si>
    <t>PFD4CHDK4</t>
  </si>
  <si>
    <t>Ford F-150 Task Light Hardware Kit</t>
  </si>
  <si>
    <t>PFD4CHDK5</t>
  </si>
  <si>
    <t>Ford Super Duty 4-Corner Hardware Kit</t>
  </si>
  <si>
    <t>PFDBCHDK1</t>
  </si>
  <si>
    <t>Hardware Kit with cleaning wipe</t>
  </si>
  <si>
    <t>PFDBCHDK4</t>
  </si>
  <si>
    <t>Hardware Kit without acetone</t>
  </si>
  <si>
    <t>PFDBCHDK5</t>
  </si>
  <si>
    <t>Upfitter Hardware Kit</t>
  </si>
  <si>
    <t>PFDBCHDK6</t>
  </si>
  <si>
    <t>Upfitter Hardware Kit with cleaning wipe</t>
  </si>
  <si>
    <t>PMP7HK01-QM</t>
  </si>
  <si>
    <t>Hardware Kit for Quick Mount application for use with mpower® 6X4 Lights</t>
  </si>
  <si>
    <t>PMP8HK001</t>
  </si>
  <si>
    <t>Bezel Mounting Hardware Kit (mounts bezel to vehicle)</t>
  </si>
  <si>
    <t>PMP8HK01-QM</t>
  </si>
  <si>
    <t>Hardware Kit for Quick Mount application - for use with mpower® 7x3 Lights</t>
  </si>
  <si>
    <t>PMP8HK01-SM</t>
  </si>
  <si>
    <t>Hardware Kit for Screw Mount application - for use with mpower® 7x3 &amp; 6x4 Lights</t>
  </si>
  <si>
    <t>PMP8HK01-ST</t>
  </si>
  <si>
    <t>Hardware Kit for Stud Mount application - for use with mpower® 7x3 &amp; 6x4 Lights</t>
  </si>
  <si>
    <t>PMP8HK03-BZ</t>
  </si>
  <si>
    <t>Bezel Mounting Hardware Kit for Ford Transit and Mercedes Sprinter (mounts bezel to vehicle)</t>
  </si>
  <si>
    <t>PMP9HK01-SM</t>
  </si>
  <si>
    <t>Legacy Hardware Kit for retrofitting SAE Screw Mount application (can be used on 4 mm or 9 mm thickness) in Chrome &amp; Black for use with mpower® 9x7 Lights</t>
  </si>
  <si>
    <t>PMP9HK02-SM</t>
  </si>
  <si>
    <t>Hardware Kit for SAE Screw mount application (can be used on 4 mm thickness) in Black for use with mpower® 9x7 Lights</t>
  </si>
  <si>
    <t>PMP9HK03-SM</t>
  </si>
  <si>
    <t>Hardware Kit for SAE Screw mount application (can be used on 9 mm thickness) in Black for use with mpower® 9x7 Lights</t>
  </si>
  <si>
    <t>PMP9HK05-ST</t>
  </si>
  <si>
    <t>Hardware Kit for Stud Mount application for use with mpower® 9x7 Stud Mount Lights</t>
  </si>
  <si>
    <t>PMPAKH01</t>
  </si>
  <si>
    <t>Hardware Kit, for use with Chevrolet Tahoe bracket for mpower Arrow Kit</t>
  </si>
  <si>
    <t>PMPAKH02</t>
  </si>
  <si>
    <t>Hardware Kit, for use with Ford Utility bracket for mpower Arrow Kit</t>
  </si>
  <si>
    <t>PMPAKH03</t>
  </si>
  <si>
    <t>Hardware Kit, for use with Dodge Durango bracket for mpower Arrow Kit</t>
  </si>
  <si>
    <t>PMPAKH05</t>
  </si>
  <si>
    <t>Hardware Kit, for use with Ford Utility 2020 bracket for mpower Arrow Kit</t>
  </si>
  <si>
    <t>PMPAKH06</t>
  </si>
  <si>
    <t>Hardware Kit, for use with Ford Expedition 2018-2020 bracket for mpower® Arrow Kit</t>
  </si>
  <si>
    <t>PMPAKH07</t>
  </si>
  <si>
    <t>Hardware Kit, for use with Chevrolet Tahoe Police Pursuit &amp; Civilian Vehicles 2021 bracket for mpower Arrow Kit</t>
  </si>
  <si>
    <t>PMPAKH08</t>
  </si>
  <si>
    <t>Hardware Kit, for use with Dodge Durango Pursuit &amp; Civilian Vehicles 2021 bracket for mpower Arrow Kit</t>
  </si>
  <si>
    <t>PMPGLHK01</t>
  </si>
  <si>
    <t>Flat Mount Hardware Kit - connects mount to light</t>
  </si>
  <si>
    <t>PMPSAHK001</t>
  </si>
  <si>
    <t>Hardware Kit for mpower Third Brake Light Bracket</t>
  </si>
  <si>
    <t>PNFLBSPKT1</t>
  </si>
  <si>
    <t>Solar Panel Hardware Kit</t>
  </si>
  <si>
    <t>PPS8HK01-BZ</t>
  </si>
  <si>
    <t>Hardware Kit for Screw Mount application, Chrome</t>
  </si>
  <si>
    <t>PPS8HK01-ST</t>
  </si>
  <si>
    <t>Hardware Kit for Screw Mount application</t>
  </si>
  <si>
    <t>PPS8HK02-BZ</t>
  </si>
  <si>
    <t>Hardware Kit for Screw Mount application, Black</t>
  </si>
  <si>
    <t>PPS8HK03</t>
  </si>
  <si>
    <t>Bezel Mounting Hardware Kit 6x4 P &amp; 7x3 P Light (mounts lights into bezels)</t>
  </si>
  <si>
    <t>PPS9HK05-SM</t>
  </si>
  <si>
    <t>Legacy Hardware Kit for retrofitting SAE Screw mount application (can be used on 4mm or 9mm thickness) in Chrome &amp; Black for use with nFUSE® 9x7 P Light</t>
  </si>
  <si>
    <t>PSP0HWK</t>
  </si>
  <si>
    <t>Hardware Kit for 900 &amp; 600 Series Switches - includes Legends, Wire Ties, Plug &amp; Spade Terminals (for use w/ #ETSP6F &amp; #ETSP9F)</t>
  </si>
  <si>
    <t>PSRN2HDK1</t>
  </si>
  <si>
    <t>Hardware Kit w/ 3 Position Rocker Switch</t>
  </si>
  <si>
    <t>PPS9HK01-SM</t>
  </si>
  <si>
    <t>Hardware Kit 4 mm Chrome for Surface Mount application for use with nFUSE® 9x7 P Light</t>
  </si>
  <si>
    <t>PPS9HK02-SM</t>
  </si>
  <si>
    <t>Hardware Kit 4 mm Black for Surface Mount application for use with nFUSE® 9x7 P Light</t>
  </si>
  <si>
    <t>PPS9HK03-SM</t>
  </si>
  <si>
    <t>Hardware Kit 9 mm Chrome for Surface Mount application for use with nFUSE® 9x7 P Light</t>
  </si>
  <si>
    <t>PPS9HK04-SM</t>
  </si>
  <si>
    <t>Hardware Kit 9 mm Black for Surface Mount application for use with nFUSE® 9x7 P Light</t>
  </si>
  <si>
    <t>ETRDHN001</t>
  </si>
  <si>
    <t>Replacement Power Harness</t>
  </si>
  <si>
    <t>ETRDHN002</t>
  </si>
  <si>
    <t>Replacement Speaker Harness</t>
  </si>
  <si>
    <t>PCPMPHN01</t>
  </si>
  <si>
    <t>Adaptor Harness - connects 8 button high current control panel and switch to breakout box</t>
  </si>
  <si>
    <t>PCPMPHN02</t>
  </si>
  <si>
    <t>Adaptor Harness - connects 8 button low current control panel and switch to breakout box</t>
  </si>
  <si>
    <t>PCPNR4HN1</t>
  </si>
  <si>
    <t>Jumper Harness - for use with 4 Button Controller</t>
  </si>
  <si>
    <t>PEAPRR-P</t>
  </si>
  <si>
    <t>Mating AMP Harness, Standard Flashers</t>
  </si>
  <si>
    <t>PEMG2HNML</t>
  </si>
  <si>
    <t>Magnum (EMG2000) Main Wire Harness - Long</t>
  </si>
  <si>
    <t>PEMG2HNMS</t>
  </si>
  <si>
    <t>Magnum (EMG2000) Main Wire Harness - Short</t>
  </si>
  <si>
    <t>PEPL9BBHNL</t>
  </si>
  <si>
    <t>Breakout Box Harness, 36" Length for use w/ Exterior &amp; Interior Lightbars</t>
  </si>
  <si>
    <t>PEPL9BBHNS</t>
  </si>
  <si>
    <t>Breakout Box Harness, 12" Length for use w/ Exterior &amp; Interior Lightbars</t>
  </si>
  <si>
    <t>PEPL9BBHNXL</t>
  </si>
  <si>
    <t>8 ft 24 Conductor Harness for nERGY® bluePRINT® Input Node</t>
  </si>
  <si>
    <t>PEPL9GTTHN</t>
  </si>
  <si>
    <t>Harness for use w/ the Opticom™ Infrared LED Emitter Module Model 795H</t>
  </si>
  <si>
    <t>PERISW-07</t>
  </si>
  <si>
    <t>Switch Replacement Harness - Heavy Duty I.S.S., #ETISS0-07+</t>
  </si>
  <si>
    <t>PFD4CCLHNS1</t>
  </si>
  <si>
    <t>Ford 4-Corner Harness for use with CHMSL Bezel w/ Intersector Surface Mount Lights</t>
  </si>
  <si>
    <t>PFD4CCLHNS2</t>
  </si>
  <si>
    <t>Ford F-150 4-Corner Harness for use with CHMSL Bezel w/ Intersector Surface Mount Lights</t>
  </si>
  <si>
    <t>PFD4CGLHNS1</t>
  </si>
  <si>
    <t>Ford 4-Corner Harness for use with GHOST® Multi-Mount Light</t>
  </si>
  <si>
    <t>PFD4CGLHNS2</t>
  </si>
  <si>
    <t>Ford F-150 4-Corner Harness for use with GHOST® Multi-Mount Light</t>
  </si>
  <si>
    <t>PFD4CGLHNS3</t>
  </si>
  <si>
    <t>Ford Super Duty 4-Corner Harness for use with GHOST® Multi-Mount Light and without Ford Upfitter Switch</t>
  </si>
  <si>
    <t>PFD4CGLHNS4</t>
  </si>
  <si>
    <t>Ford Super Duty 4-Corner Harness for use with GHOST® Multi-Mount Light and Ford Upfitter Switch</t>
  </si>
  <si>
    <t>PFDBCHNS1</t>
  </si>
  <si>
    <t>Power Harness</t>
  </si>
  <si>
    <t>PFDBCHNS2</t>
  </si>
  <si>
    <t>Upfitter Pattern Select Power Harness</t>
  </si>
  <si>
    <t>PMP8HN001</t>
  </si>
  <si>
    <t>Power Harness with Connector</t>
  </si>
  <si>
    <t>PMP9HN001</t>
  </si>
  <si>
    <t>Power Harness, for use on the nFUSE® 9x7 P Scene Lights</t>
  </si>
  <si>
    <t>PMPAKHNDS1</t>
  </si>
  <si>
    <t>Distribution Harness for use with mpower Arrow Kit - connect module to Power/Control Harness (with 4 connectors)</t>
  </si>
  <si>
    <t>PMPAKHNDS2</t>
  </si>
  <si>
    <t>Distribution Harness for use with mpower Arrow Kit - connect module to Power/Control Harness (with 3 connectors)</t>
  </si>
  <si>
    <t>PMPAKHNPW1</t>
  </si>
  <si>
    <t>Power/Control Harness for mpower Arrow Kit - connects (2) Distribution harnesses to Breakout Box</t>
  </si>
  <si>
    <t>PMPGLHNPW15</t>
  </si>
  <si>
    <t>PMPGLHNPW25</t>
  </si>
  <si>
    <t>PMPLBHNPW3</t>
  </si>
  <si>
    <t>Exterior Lightbar Power Harness 25 ft</t>
  </si>
  <si>
    <t>PMPR1HN001</t>
  </si>
  <si>
    <t>Power Harness for mpower® HP 2x1</t>
  </si>
  <si>
    <t>PMPR2HN002</t>
  </si>
  <si>
    <t>Power Harness for mpower®  HP 6x1</t>
  </si>
  <si>
    <t>PMPTCHN03</t>
  </si>
  <si>
    <t>3 Foot Extension Harness for Traffic Controller</t>
  </si>
  <si>
    <t>PMPTCHN04</t>
  </si>
  <si>
    <t>15 Foot Extension Harness for Traffic Controller</t>
  </si>
  <si>
    <t>PMPTCHN05</t>
  </si>
  <si>
    <t>25 Foot Extension Harness for Traffic Controller</t>
  </si>
  <si>
    <t>PMPTCHN06</t>
  </si>
  <si>
    <t>6 Module Harness with Endcap for Traffic Controller</t>
  </si>
  <si>
    <t>PMPTCHN10</t>
  </si>
  <si>
    <t>10 Module Harness with Endcap for Traffic Controller</t>
  </si>
  <si>
    <t>PMPTCHN11</t>
  </si>
  <si>
    <t>5 Module Harness with Endcap for Traffic Controller</t>
  </si>
  <si>
    <t>PNFLBGTTHNS</t>
  </si>
  <si>
    <t>Strobe Module Harness for use with Strobe Module Kit (PNFLBGTTSTB)</t>
  </si>
  <si>
    <t>PNFLBHNAL1</t>
  </si>
  <si>
    <t>nFORCE® Exterior Lightbar Harness - Alley</t>
  </si>
  <si>
    <t>PNFLBHNDS06</t>
  </si>
  <si>
    <t>nFORCE® Exterior Lightbar Distribution Harness 6"</t>
  </si>
  <si>
    <t>PNFLBHNDS12</t>
  </si>
  <si>
    <t>nFORCE® Exterior Lightbar Distribution Harness 12"</t>
  </si>
  <si>
    <t>PNFLBHNDS24</t>
  </si>
  <si>
    <t>nFORCE® Exterior Lightbar Distribution Harness 24"</t>
  </si>
  <si>
    <t>PNFLBHNDS35</t>
  </si>
  <si>
    <t>nFORCE® Exterior Lightbar Distribution Harness 35"</t>
  </si>
  <si>
    <t>PNFLBHNDS47</t>
  </si>
  <si>
    <t>nFORCE® Exterior Lightbar Distribution Harness 47"</t>
  </si>
  <si>
    <t>PNFLBHNMD1</t>
  </si>
  <si>
    <t>nFORCE® Exterior Lightbar Module Harness, Single Color</t>
  </si>
  <si>
    <t>PNFLBHNMD2</t>
  </si>
  <si>
    <t>nFORCE® Exterior Lightbar Module Harness, Dual &amp; Tri Color</t>
  </si>
  <si>
    <t>PNFLBHNPW1</t>
  </si>
  <si>
    <t>nFORCE® Exterior Lightbar Harness - Power</t>
  </si>
  <si>
    <t>PNFLBHNPW2</t>
  </si>
  <si>
    <t>nFORCE® Exterior Lightbar Harness - Quick Connect (Lightbar side)</t>
  </si>
  <si>
    <t>PNFLBHNPW3</t>
  </si>
  <si>
    <t>Quick Connect Adaptor Harness for nFORCE® Exterior Lightbar (vehicle side)</t>
  </si>
  <si>
    <t>PNFLBHNPW4</t>
  </si>
  <si>
    <t>Exterior Lightbar 50' Harness - Power</t>
  </si>
  <si>
    <t>PNFWBHNJ01</t>
  </si>
  <si>
    <t>nFORCE® Interior Lightbar w/DSC Technology (Breakout Box), Jumper Harness</t>
  </si>
  <si>
    <t>PNFWBHNM01</t>
  </si>
  <si>
    <t>nFORCE® Interior Lightbar w/DSC Technology (Breakout Box), Module Harness 2.5" Red</t>
  </si>
  <si>
    <t>PNFWBHNM02</t>
  </si>
  <si>
    <t>nFORCE® Interior Lightbar w/DSC Technology (Breakout Box), Module Harness 5" Green</t>
  </si>
  <si>
    <t>PNFWBHNM03</t>
  </si>
  <si>
    <t>nFORCE® Interior Lightbar w/DSC Technology (Breakout Box), Module Harness 8.5" Blue</t>
  </si>
  <si>
    <t>PNFWBHNM04</t>
  </si>
  <si>
    <t>nFORCE® Interior Lightbar w/DSC Technology (Breakout Box), Module Harness 11.5" Yellow</t>
  </si>
  <si>
    <t>PNFWBHNM09</t>
  </si>
  <si>
    <t>nFORCE® Interior Lightbar w/DSC Technology (Breakout Box), Module Harness 18" Purple</t>
  </si>
  <si>
    <t>PNFWBHNM10</t>
  </si>
  <si>
    <t>nFORCE® Interior Lightbar w/ Direct Connect, Module Harness Long</t>
  </si>
  <si>
    <t>PNFWBHNM11</t>
  </si>
  <si>
    <t>nFORCE® Interior Lightbar w/ Direct Connect, Module Harness Short</t>
  </si>
  <si>
    <t>PNFWBHNM12</t>
  </si>
  <si>
    <t>nFORCE® Interior Lightbar w/ Direct Connect, Rear Module Harness Long</t>
  </si>
  <si>
    <t>PNFWBHNP01</t>
  </si>
  <si>
    <t>nFORCE® Interior Lightbar w/DSC Technology (Breakout Box), Power Harness</t>
  </si>
  <si>
    <t>PNFWBHNP02</t>
  </si>
  <si>
    <t>Power Harness, 6-wire Direct Connect, for use with nFORCE® Interior Lightbar</t>
  </si>
  <si>
    <t>PNFWBHNP03</t>
  </si>
  <si>
    <t>Power Harness, 12-wire Direct Connect for use with nFORCE® Interior Lightbar</t>
  </si>
  <si>
    <t>PNNLBHNMD1</t>
  </si>
  <si>
    <t>4.75" Short Module Harness for Exterior Lightbars</t>
  </si>
  <si>
    <t>PNNLBHNMD2</t>
  </si>
  <si>
    <t>8.5" Long Module Harness for Exterior Lightbars</t>
  </si>
  <si>
    <t>PNNLBHNPW1</t>
  </si>
  <si>
    <t>25" Power Harness for a 24" Lightbar</t>
  </si>
  <si>
    <t>PNNLBHNPW2</t>
  </si>
  <si>
    <t>Quick Connect Lightbar Harness</t>
  </si>
  <si>
    <t>PNNLBHNPW3</t>
  </si>
  <si>
    <t>Quick Connect Roof Harness</t>
  </si>
  <si>
    <t>PNRBCHNJP1</t>
  </si>
  <si>
    <t>Replacement Upward Board Jumper Harness for nROADS® Beacons</t>
  </si>
  <si>
    <t>PNRLBHNMD1</t>
  </si>
  <si>
    <t>Short Module Harness for nROADS® Mini or Mid-Size Lightbars</t>
  </si>
  <si>
    <t>PNRLBHNMD2</t>
  </si>
  <si>
    <t>Middle Module Harness for nROADS® Mini or Mid-Size Lightbars</t>
  </si>
  <si>
    <t>PNRLBHNMD3</t>
  </si>
  <si>
    <t>Long Module Harness for nROADS® Mini or Mid-Size Lightbars</t>
  </si>
  <si>
    <t>PNRLBHNP1</t>
  </si>
  <si>
    <t>Cig Plug Power Harness for use with nROADS®</t>
  </si>
  <si>
    <t>PNRLBHNP2</t>
  </si>
  <si>
    <t>Direct Connect Power Harness for use with nROADS®</t>
  </si>
  <si>
    <t>PNRLBHNP3</t>
  </si>
  <si>
    <t>Cig Plug Power Harness</t>
  </si>
  <si>
    <t>PNULBHNPW1</t>
  </si>
  <si>
    <t>15 Foot Harness - Power</t>
  </si>
  <si>
    <t>PNULBHNPW2</t>
  </si>
  <si>
    <t>25 Foot Harness - Power</t>
  </si>
  <si>
    <t>PRMLBHNMD1</t>
  </si>
  <si>
    <t>Exterior Lightbar Module Harness for Direct Connect - Single Color</t>
  </si>
  <si>
    <t>PRMLBHNPT1</t>
  </si>
  <si>
    <t>Exterior Lightbar Harness for Direct Connect - 8-wire input</t>
  </si>
  <si>
    <t>PRMLBHNPT2</t>
  </si>
  <si>
    <t>Exterior Lightbar Harness for Direct Connect - 12-wire input</t>
  </si>
  <si>
    <t>PRMLBHNPT3</t>
  </si>
  <si>
    <t>Exterior Lightbar Harness for Connect-n-Go - Auxiliary Light Control</t>
  </si>
  <si>
    <t>PRMLBHNPW1</t>
  </si>
  <si>
    <t>Exterior Lightbar Harness for Direct Connect - Power</t>
  </si>
  <si>
    <t>PRMLBHNPW2</t>
  </si>
  <si>
    <t>Exterior Lightbar Harness for Connect-n-Go - Power</t>
  </si>
  <si>
    <t>PRMLBHNPW3</t>
  </si>
  <si>
    <t>PRMLBHNSLV</t>
  </si>
  <si>
    <t>Exterior Lightbar Harness Sleeve for Direct Connect</t>
  </si>
  <si>
    <t>PRMLBHNST1</t>
  </si>
  <si>
    <t>Exterior Lightbar Harness for Direct Connect - Stop/Tail/Turn</t>
  </si>
  <si>
    <t>PRMLBHNXT1</t>
  </si>
  <si>
    <t>Exterior Lightbar Harness for use with mpower® Arrow Kit and Connect-n-Go - 10' Auxiliary Light Extension, Female &amp; Male Connector</t>
  </si>
  <si>
    <t>PRMLBHNXT2</t>
  </si>
  <si>
    <t>Exterior Lightbar Harness for use with mpower® Arrow Kit and Connect-n-Go - 3' Auxiliary Light Extension, Female &amp; Male Connector</t>
  </si>
  <si>
    <t>PRMLBHNXT3</t>
  </si>
  <si>
    <t>Exterior Lightbar Harness for use with mpower® Arrow Kit and Connect-n-Go - 12' Auxiliary Light Extension, Female Connector &amp; Flying Lead</t>
  </si>
  <si>
    <t>PRMLBHNXT4</t>
  </si>
  <si>
    <t>Exterior Lightbar Harness for use with mpower® Arrow Kit and Connect-n-Go - 20' Auxiliary Light Extension, Female Connector &amp; Flying Lead</t>
  </si>
  <si>
    <t>PRMLBHNXT5</t>
  </si>
  <si>
    <t>Exterior Lightbar Harness for use with mpower® Arrow Kit and Connect-n-Go - 3' Auxiliary Light Extension, Female Connector &amp; Flying Lead</t>
  </si>
  <si>
    <t>PSRN4HDK1</t>
  </si>
  <si>
    <t>Harness Kit for use w/ #ETSA481RSP, #ETSA482RSP</t>
  </si>
  <si>
    <t>PSRN4HDK4</t>
  </si>
  <si>
    <t>Replacement Harness Kit for #ETSA48(x)CS(x)</t>
  </si>
  <si>
    <t>PTMTCHN01</t>
  </si>
  <si>
    <t>PTSSLFHN01</t>
  </si>
  <si>
    <t>Harness for use with Low Frequency Speaker</t>
  </si>
  <si>
    <t>PTSSLFHN02</t>
  </si>
  <si>
    <t>Adapter Harness for Low Frequency Speaker - connects the siren to the amplifier</t>
  </si>
  <si>
    <t>PUL3HN00</t>
  </si>
  <si>
    <t>Harness 15 ft for use with UltraLITE Plus Directional Arrow</t>
  </si>
  <si>
    <t>PUL3HN01</t>
  </si>
  <si>
    <t>Harness 25 ft for use with UltraLITE Plus Directional Arrow</t>
  </si>
  <si>
    <t>PUVBBHNCN1</t>
  </si>
  <si>
    <t>Harness for use with CAN Breakout Box</t>
  </si>
  <si>
    <t>PUVBBHNPW1</t>
  </si>
  <si>
    <t>Universal Breakout Box 4-Pin Harness LIN</t>
  </si>
  <si>
    <t>PPRH1BKT</t>
  </si>
  <si>
    <t>Permanent Mount Headliner Bracket for Predator® 2 &amp; nFORCE® Single or Dual Windshield Lights (each)</t>
  </si>
  <si>
    <t>PMB3HBKT</t>
  </si>
  <si>
    <t>Replacement High Height Permanent Mount Bracket (1 bracket) for Mini Lightbars</t>
  </si>
  <si>
    <t>PNFLBHPKT1</t>
  </si>
  <si>
    <t>nFORCE® Exterior Lightbar Hole Plug Kit</t>
  </si>
  <si>
    <t>PMPGLCRB01</t>
  </si>
  <si>
    <t>Single Stacked Corner - Black</t>
  </si>
  <si>
    <t>PMPGLCRB02</t>
  </si>
  <si>
    <t>Dual Stacked Corner - Black</t>
  </si>
  <si>
    <t>PMPGLCRS01</t>
  </si>
  <si>
    <t>Single Stacked Corner - Silver</t>
  </si>
  <si>
    <t>PMPGLCRS02</t>
  </si>
  <si>
    <t>Dual Stacked Corner - Silver</t>
  </si>
  <si>
    <t>PNFSLSSMHSLB</t>
  </si>
  <si>
    <t>nFORCE® Single Surface Mount Housing, Black Lexan</t>
  </si>
  <si>
    <t>Internal Power Harness</t>
  </si>
  <si>
    <t>PNNBCHN002</t>
  </si>
  <si>
    <t>PNXLBHNJM1</t>
  </si>
  <si>
    <t>Jumper Harness nFUSE® XL Lightbars</t>
  </si>
  <si>
    <t>PNSLBLD12D</t>
  </si>
  <si>
    <t>12 LED Module for use with nFUSE® &amp; nFUSE® XL Lightbar, Dual Color Red/White</t>
  </si>
  <si>
    <t>PNSLBLD12E</t>
  </si>
  <si>
    <t>12 LED Module for use with nFUSE® &amp; nFUSE® XL Lightbar, Dual Color Blue/White</t>
  </si>
  <si>
    <t>PNSLBLD12F</t>
  </si>
  <si>
    <t>12 LED Module for use with nFUSE® &amp; nFUSE® XL Lightbar, Dual Color Amber/White</t>
  </si>
  <si>
    <t>PNSLBLD12H</t>
  </si>
  <si>
    <t>12 LED Module for use with nFUSE® &amp; nFUSE® XL Lightbar, Dual Color Green/White</t>
  </si>
  <si>
    <t>PNSLBLD12J</t>
  </si>
  <si>
    <t>12 LED Module for use with nFUSE® &amp; nFUSE® XL Lightbar, Dual Color Red/Blue</t>
  </si>
  <si>
    <t>PNSLBLD12K</t>
  </si>
  <si>
    <t>12 LED Module for use with nFUSE® &amp; nFUSE® XL Lightbar, Dual Color Red/Amber</t>
  </si>
  <si>
    <t>PNSLBLD12L</t>
  </si>
  <si>
    <t>12 LED Module for use with nFUSE® &amp; nFUSE® XL Lightbar, Dual Color Red/Green</t>
  </si>
  <si>
    <t>PNSLBLD12M</t>
  </si>
  <si>
    <t>12 LED Module for use with nFUSE® &amp; nFUSE® XL Lightbar, Dual Color Blue/Amber</t>
  </si>
  <si>
    <t>PNSLBLD12N</t>
  </si>
  <si>
    <t>12 LED Module for use with nFUSE® &amp; nFUSE® XL Lightbar, Dual Color Blue/Green</t>
  </si>
  <si>
    <t>PNSLBLD12P</t>
  </si>
  <si>
    <t>12 LED Module for use with nFUSE® &amp; nFUSE® XL Lightbar, Dual Color Green/Amber</t>
  </si>
  <si>
    <t>PNSLBLD16D</t>
  </si>
  <si>
    <t>16 LED Module for use with nFUSE® ECE Lightbar, Dual Color Red/White</t>
  </si>
  <si>
    <t>PNSLBLD16E</t>
  </si>
  <si>
    <t>16 LED Module for use with nFUSE® ECE Lightbar, Dual Color Blue/White</t>
  </si>
  <si>
    <t>PNSLBLD16F</t>
  </si>
  <si>
    <t>16 LED Module for use with nFUSE® ECE Lightbar, Dual Color Amber/White</t>
  </si>
  <si>
    <t>PNSLBLD16H</t>
  </si>
  <si>
    <t>16 LED Module for use with nFUSE® ECE Lightbar, Dual Color Green/White</t>
  </si>
  <si>
    <t>PNSLBLD16J</t>
  </si>
  <si>
    <t>16 LED Module for use with nFUSE® ECE Lightbar, Dual Color Red/Blue</t>
  </si>
  <si>
    <t>PNSLBLD16K</t>
  </si>
  <si>
    <t>16 LED Module for use with nFUSE® ECE Lightbar, Dual Color Red/Amber</t>
  </si>
  <si>
    <t>PNSLBLD16L</t>
  </si>
  <si>
    <t>16 LED Module for use with nFUSE® ECE Lightbar, Dual Color Red/Green</t>
  </si>
  <si>
    <t>PNSLBLD16M</t>
  </si>
  <si>
    <t>16 LED Module for use with nFUSE® ECE Lightbar, Dual Color Blue/Amber</t>
  </si>
  <si>
    <t>PNSLBLD16N</t>
  </si>
  <si>
    <t>16 LED Module for use with nFUSE® ECE Lightbar, Dual Color Blue/Green</t>
  </si>
  <si>
    <t>PNSLBLD16P</t>
  </si>
  <si>
    <t>16 LED Module for use with nFUSE® ECE Lightbar, Dual Color Green/Amber</t>
  </si>
  <si>
    <t>PNSLBLS06A</t>
  </si>
  <si>
    <t>6 LED Module for use with nFUSE® &amp; nFUSE® XL, Single Color Amber</t>
  </si>
  <si>
    <t>PNSLBLS06B</t>
  </si>
  <si>
    <t>6 LED Module for use with nFUSE® &amp; nFUSE® XL, Single Color Blue</t>
  </si>
  <si>
    <t>PNSLBLS06G</t>
  </si>
  <si>
    <t>6 LED Module for use with nFUSE® &amp; nFUSE® XL, Single Color Green</t>
  </si>
  <si>
    <t>PNSLBLS06R</t>
  </si>
  <si>
    <t>6 LED Module for use with nFUSE® &amp; nFUSE® XL, Single Color Red</t>
  </si>
  <si>
    <t>PNSLBLS06W</t>
  </si>
  <si>
    <t>6 LED Module for use with nFUSE® &amp; nFUSE® XL, Single Color White</t>
  </si>
  <si>
    <t>PNSLBLS08A</t>
  </si>
  <si>
    <t>8 LED Module for use with nFUSE® ECE Lightbar, Single Color Amber</t>
  </si>
  <si>
    <t>PNSLBLS08B</t>
  </si>
  <si>
    <t>8 LED Module for use with nFUSE® ECE Lightbar, Single Color Blue</t>
  </si>
  <si>
    <t>PNSLBLS08G</t>
  </si>
  <si>
    <t>8 LED Module for use with nFUSE® ECE Lightbar, Single Color Green</t>
  </si>
  <si>
    <t>PNSLBLS08R</t>
  </si>
  <si>
    <t>8 LED Module for use with nFUSE® ECE Lightbar, Single Color Red</t>
  </si>
  <si>
    <t>PNSLBLS08W</t>
  </si>
  <si>
    <t>8 LED Module for use with nFUSE® ECE Lightbar, Single Color White</t>
  </si>
  <si>
    <t>PMPLBDRV2</t>
  </si>
  <si>
    <t>Lightbar Power Distribution Board with Auto Dim Sensor (has two protective covers)</t>
  </si>
  <si>
    <t>PMPLBDRV3</t>
  </si>
  <si>
    <t>PSRNLFANR3</t>
  </si>
  <si>
    <t>Low Frequency Amplifier, 200 Watt</t>
  </si>
  <si>
    <t>PNRLBK01</t>
  </si>
  <si>
    <t>Magnet Adder Kit (per Foot) for nROADS® Mini or Mid-Size Lightbars</t>
  </si>
  <si>
    <t>PMB3BMG</t>
  </si>
  <si>
    <t>Replacement Magnetic Foot (1 - 85 lb pull foot) for EPL7000 &amp; LED3 Mini Lightbars</t>
  </si>
  <si>
    <t>PMB3MGKT</t>
  </si>
  <si>
    <t>Magnetic Mount Conversion Kit w/ 4 - 85 lb pull feet for EPL7000 &amp; LED3 Mini Lightbars</t>
  </si>
  <si>
    <t>PNRBCMGKT</t>
  </si>
  <si>
    <t>Magnetic Mount Kit for use with nROADS® Beacons</t>
  </si>
  <si>
    <t>PEAPLP-P</t>
  </si>
  <si>
    <t>Mating Loop Plug Standard Flashers</t>
  </si>
  <si>
    <t>PSRN4MC03</t>
  </si>
  <si>
    <t>Replacement Microphone for use w/ #ETSA481RSR, #ETSA482RSR</t>
  </si>
  <si>
    <t>PSRNMC1</t>
  </si>
  <si>
    <t>Replacement Microphone &amp; Strain Relief for #ETSA481RSP, #ETSA482RSP</t>
  </si>
  <si>
    <t>PSRNMMC1</t>
  </si>
  <si>
    <t>Replacement Microphone Mounting Clip for #ETSA482RSP, #ETSA482RSP</t>
  </si>
  <si>
    <t>PEMG2AR103W</t>
  </si>
  <si>
    <t>Magnum (EMG2000) Alley Light - Clear Lens/White LEDs</t>
  </si>
  <si>
    <t>PEMG2AR203W</t>
  </si>
  <si>
    <t>Magnum (EMG2000) Alley Light, 10-30 volt - Clear Lens/White LEDs</t>
  </si>
  <si>
    <t>PEMG2CC112A</t>
  </si>
  <si>
    <t>Magnum (EMG2000) 12 LED Corner Module - Amber</t>
  </si>
  <si>
    <t>PEMG2CC112B</t>
  </si>
  <si>
    <t>Magnum (EMG2000) 12 LED Corner Module - Blue</t>
  </si>
  <si>
    <t>PEMG2CC112G</t>
  </si>
  <si>
    <t>Magnum (EMG2000) 12 LED Corner Module - Green</t>
  </si>
  <si>
    <t>PEMG2CC112W</t>
  </si>
  <si>
    <t>Magnum (EMG2000) 12 LED Corner Module - White</t>
  </si>
  <si>
    <t>PEMG2CE112A</t>
  </si>
  <si>
    <t>PEMG2CR106A</t>
  </si>
  <si>
    <t>Magnum (EMG2000) 6 LED Corner Module - Amber</t>
  </si>
  <si>
    <t>PEMG2CR106B</t>
  </si>
  <si>
    <t>Magnum (EMG2000) 6 LED Corner Module - Blue</t>
  </si>
  <si>
    <t>PEMG2CR106G</t>
  </si>
  <si>
    <t>Magnum (EMG2000) 6 LED Corner Module - Green</t>
  </si>
  <si>
    <t>PEMG2CR106R</t>
  </si>
  <si>
    <t>Magnum (EMG2000) 6 LED Corner Module - Red</t>
  </si>
  <si>
    <t>PEMG2CR106W</t>
  </si>
  <si>
    <t>Magnum (EMG2000) 6 LED Corner Module - White</t>
  </si>
  <si>
    <t>PEMG2CR206A</t>
  </si>
  <si>
    <t>Magnum (EMG2000) 6 LED Corner Module, 10-30 volt - Amber</t>
  </si>
  <si>
    <t>PEMG2CR206B</t>
  </si>
  <si>
    <t>Magnum (EMG2000) 6 LED Corner Module, 10-30 volt - Blue</t>
  </si>
  <si>
    <t>PEMG2CR206G</t>
  </si>
  <si>
    <t>Magnum (EMG2000) 6 LED Corner Module, 10-30 volt - Green</t>
  </si>
  <si>
    <t>PEMG2CR206R</t>
  </si>
  <si>
    <t>Magnum (EMG2000) 6 LED Corner Module, 10-30 volt - Red</t>
  </si>
  <si>
    <t>PEMG2CR206W</t>
  </si>
  <si>
    <t>Magnum (EMG2000) 6 LED Corner Module, 10-30 volt - White</t>
  </si>
  <si>
    <t>PEMG2HR103W</t>
  </si>
  <si>
    <t>Magnum (EMG2000) Single Take Down/Work Light Module - Clear Lens/White LEDs</t>
  </si>
  <si>
    <t>PEMG2HR106W</t>
  </si>
  <si>
    <t>Magnum (EMG2000) Dual Take Down/Work Light Module - Clear Lens/White LEDs</t>
  </si>
  <si>
    <t>PEMG2HR109W</t>
  </si>
  <si>
    <t>Magnum (EMG2000) Triple Take Down/Work Light Module - Clear Lens/White LEDs</t>
  </si>
  <si>
    <t>PEMG2HR203W</t>
  </si>
  <si>
    <t>Magnum (EMG2000) Single Take Down/Work Light Module, 10-30 volt - Clear Lens/White LEDs</t>
  </si>
  <si>
    <t>PEMG2HR206W</t>
  </si>
  <si>
    <t>Magnum (EMG2000) Dual Take Down/Work Light Module, 10-30 volt - Clear Lens/White LEDs</t>
  </si>
  <si>
    <t>PEMG2HR209W</t>
  </si>
  <si>
    <t>Magnum (EMG2000) Triple Take Down/Work Light Module, 10-30 volt - Clear Lens/White LEDs</t>
  </si>
  <si>
    <t>PEMG2LM103A</t>
  </si>
  <si>
    <t>Magnum (EMG2000) 3-inch Inboard Module w/ Alley Lens, 10-16 volt - Clear Lens/Amber LEDs</t>
  </si>
  <si>
    <t>PEMG2LM103B</t>
  </si>
  <si>
    <t>Magnum (EMG2000) 3-inch Inboard Module w/ Alley Lens, 10-16 volt - Clear Lens/Blue LEDs</t>
  </si>
  <si>
    <t>PEMG2LM103G</t>
  </si>
  <si>
    <t>Magnum (EMG2000) 3-inch Inboard Module w/ Alley Lens, 10-16 volt - Clear Lens/Green LEDs</t>
  </si>
  <si>
    <t>PEMG2LM103R</t>
  </si>
  <si>
    <t>Magnum (EMG2000) 3-inch Inboard Module w/ Alley Lens, 10-16 volt - Clear Lens/Red LEDs</t>
  </si>
  <si>
    <t>PEMG2LM103W</t>
  </si>
  <si>
    <t>Magnum (EMG2000) 3-inch Inboard Module w/ Alley Lens, 10-16 volt - Clear Lens/White LEDs</t>
  </si>
  <si>
    <t>PEMG2LM203A</t>
  </si>
  <si>
    <t>Magnum (EMG2000) 3-inch Inboard Module w/ Alley Lens, 10-30 volt - Clear Lens/Amber LEDs</t>
  </si>
  <si>
    <t>PEMG2LM203B</t>
  </si>
  <si>
    <t>Magnum (EMG2000) 3-inch Inboard Module w/ Alley Lens, 10-30 volt - Clear Lens/Blue LEDs</t>
  </si>
  <si>
    <t>PEMG2LM203G</t>
  </si>
  <si>
    <t>Magnum (EMG2000) 3-inch Inboard Module w/ Alley Lens, 10-30 volt - Clear Lens/Green LEDs</t>
  </si>
  <si>
    <t>PEMG2LM203R</t>
  </si>
  <si>
    <t>Magnum (EMG2000) 3-inch Inboard Module w/ Alley Lens, 10-30 volt - Clear Lens/Red LEDs</t>
  </si>
  <si>
    <t>PEMG2LM203W</t>
  </si>
  <si>
    <t>Magnum (EMG2000) 3-inch Inboard Module w/ Alley Lens, 10-30 volt - Clear Lens/White LEDs</t>
  </si>
  <si>
    <t>PEMG2LR103A</t>
  </si>
  <si>
    <t>Magnum (EMG2000) 3 LED Inboard Module - Amber</t>
  </si>
  <si>
    <t>PEMG2LR103B</t>
  </si>
  <si>
    <t>Magnum (EMG2000) 3 LED Inboard Module - Blue</t>
  </si>
  <si>
    <t>PEMG2LR103G</t>
  </si>
  <si>
    <t>Magnum (EMG2000) 3 LED Inboard Module - Green</t>
  </si>
  <si>
    <t>PEMG2LR103R</t>
  </si>
  <si>
    <t>Magnum (EMG2000) 3 LED Inboard Module - Red</t>
  </si>
  <si>
    <t>PEMG2LR103W</t>
  </si>
  <si>
    <t>Magnum (EMG2000) 3 LED Inboard Module - White</t>
  </si>
  <si>
    <t>PEMG2LR106A</t>
  </si>
  <si>
    <t>Magnum (EMG2000) 6 LED Inboard Module - Amber</t>
  </si>
  <si>
    <t>PEMG2LR106B</t>
  </si>
  <si>
    <t>Magnum (EMG2000) 6 LED Inboard Module - Blue</t>
  </si>
  <si>
    <t>PEMG2LR106F</t>
  </si>
  <si>
    <t>Magnum (EMG2000) 6 LED Inboard Module - Amber/White</t>
  </si>
  <si>
    <t>PEMG2LR106G</t>
  </si>
  <si>
    <t>Magnum (EMG2000) 6 LED Inboard Module - Green</t>
  </si>
  <si>
    <t>PEMG2LR106J</t>
  </si>
  <si>
    <t>Magnum (EMG2000) 6 LED Inboard Module - Red/Blue</t>
  </si>
  <si>
    <t>PEMG2LR106K</t>
  </si>
  <si>
    <t>Magnum (EMG2000) 6 LED Inboard Module - Red/Amber</t>
  </si>
  <si>
    <t>PEMG2LR106M</t>
  </si>
  <si>
    <t>Magnum (EMG2000) 6 LED Inboard Module - Blue/Amber</t>
  </si>
  <si>
    <t>PEMG2LR106P</t>
  </si>
  <si>
    <t>Magnum (EMG2000) 6 LED Inboard Module - Green/Amber</t>
  </si>
  <si>
    <t>PEMG2LR106R</t>
  </si>
  <si>
    <t>Magnum (EMG2000) 6 LED Inboard Module - Red</t>
  </si>
  <si>
    <t>PEMG2LR106W</t>
  </si>
  <si>
    <t>Magnum (EMG2000) 6 LED Inboard Module - White</t>
  </si>
  <si>
    <t>PEMG2LR112A</t>
  </si>
  <si>
    <t>Magnum (EMG2000) 12 LED Inboard Module - Amber</t>
  </si>
  <si>
    <t>PEMG2LR112F</t>
  </si>
  <si>
    <t>Magnum (EMG2000) 12 LED Inboard Module - Amber/White</t>
  </si>
  <si>
    <t>PEMG2LR112K</t>
  </si>
  <si>
    <t>Magnum (EMG2000) 12 LED Inboard Module - Red/Amber</t>
  </si>
  <si>
    <t>PEMG2LR112M</t>
  </si>
  <si>
    <t>Magnum (EMG2000) 12 LED Inboard Module - Blue/Amber</t>
  </si>
  <si>
    <t>PEMG2LR112P</t>
  </si>
  <si>
    <t>Magnum (EMG2000) 12 LED Inboard Module - Green/Amber</t>
  </si>
  <si>
    <t>PEMG2LR203A</t>
  </si>
  <si>
    <t>Magnum (EMG2000) 3 LED Inboard Module, 10-30 volt - Amber</t>
  </si>
  <si>
    <t>PEMG2LR203B</t>
  </si>
  <si>
    <t>Magnum (EMG2000) 3 LED Inboard Module, 10-30 volt - Blue</t>
  </si>
  <si>
    <t>PEMG2LR203G</t>
  </si>
  <si>
    <t>Magnum (EMG2000) 3 LED Inboard Module, 10-30 volt - Green</t>
  </si>
  <si>
    <t>PEMG2LR203R</t>
  </si>
  <si>
    <t>Magnum (EMG2000) 3 LED Inboard Module, 10-30 volt - Red</t>
  </si>
  <si>
    <t>PEMG2LR203W</t>
  </si>
  <si>
    <t>Magnum (EMG2000) 3 LED Inboard Module, 10-30 volt - White</t>
  </si>
  <si>
    <t>PEMG2LR206A</t>
  </si>
  <si>
    <t>Magnum (EMG2000) 6 LED Inboard Module, 10-30 volt - Amber</t>
  </si>
  <si>
    <t>PEMG2LR206B</t>
  </si>
  <si>
    <t>Magnum (EMG2000) 6 LED Inboard Module, 10-30 volt - Blue</t>
  </si>
  <si>
    <t>PEMG2LR206F</t>
  </si>
  <si>
    <t>Magnum (EMG2000) 6 LED Inboard Module, 10-30 volt - Amber/White</t>
  </si>
  <si>
    <t>PEMG2LR206G</t>
  </si>
  <si>
    <t>Magnum (EMG2000) 6 LED Inboard Module, 10-30 volt - Green</t>
  </si>
  <si>
    <t>PEMG2LR206J</t>
  </si>
  <si>
    <t>Magnum (EMG2000) 6 LED Inboard Module, 10-30 volt - Red/Blue</t>
  </si>
  <si>
    <t>PEMG2LR206K</t>
  </si>
  <si>
    <t>Magnum (EMG2000) 6 LED Inboard Module, 10-30 volt - Red/Amber</t>
  </si>
  <si>
    <t>PEMG2LR206M</t>
  </si>
  <si>
    <t>Magnum (EMG2000) 6 LED Inboard Module, 10-30 volt - Blue/Amber</t>
  </si>
  <si>
    <t>PEMG2LR206P</t>
  </si>
  <si>
    <t>Magnum (EMG2000) 6 LED Inboard Module, 10-30 volt - Green/Amber</t>
  </si>
  <si>
    <t>PEMG2LR206R</t>
  </si>
  <si>
    <t>Magnum (EMG2000) 6 LED Inboard Module, 10-30 volt - Red</t>
  </si>
  <si>
    <t>PEMG2LR206W</t>
  </si>
  <si>
    <t>Magnum (EMG2000) 6 LED Inboard Module, 10-30 volt - White</t>
  </si>
  <si>
    <t>PENT2B0A</t>
  </si>
  <si>
    <t>Replacement Light, 9-32 Vdc, 8 LED - Single Color Amber</t>
  </si>
  <si>
    <t>PENT2B0B</t>
  </si>
  <si>
    <t>Replacement Light, 9-32 Vdc, 8 LED - Single Color Blue</t>
  </si>
  <si>
    <t>PENT2B0BAG</t>
  </si>
  <si>
    <t>Replacement Light, 9-32 Vdc, 18 LED - Tricolor Blue/Amber/Green</t>
  </si>
  <si>
    <t>PENT2B0BAW</t>
  </si>
  <si>
    <t>Replacement Light, 9-32 Vdc, 18 LED - Tricolor Blue/Amber/White</t>
  </si>
  <si>
    <t>PENT2B0BGW</t>
  </si>
  <si>
    <t>Replacement Light, 9-32 Vdc, 18 LED - Tricolor Blue/Green/White</t>
  </si>
  <si>
    <t>PENT2B0D</t>
  </si>
  <si>
    <t>Replacement Light, 9-32 Vdc, 16 LED - Dual Color Red/White</t>
  </si>
  <si>
    <t>PENT2B0E</t>
  </si>
  <si>
    <t>Replacement Light, 9-32 Vdc, 16 LED - Dual Color Blue/White</t>
  </si>
  <si>
    <t>PENT2B0F</t>
  </si>
  <si>
    <t>Replacement Light, 9-32 Vdc, 16 LED - Dual Color Amber/White</t>
  </si>
  <si>
    <t>PENT2B0G</t>
  </si>
  <si>
    <t>Replacement Light, 9-32 Vdc, 8 LED - Single Color Green</t>
  </si>
  <si>
    <t>PENT2B0GAW</t>
  </si>
  <si>
    <t>Replacement Light, 9-32 Vdc, 18 LED - Tricolor Green/Amber/White</t>
  </si>
  <si>
    <t>PENT2B0H</t>
  </si>
  <si>
    <t>Replacement Light, 9-32 Vdc, 16 LED - Dual Color Green/White</t>
  </si>
  <si>
    <t>PENT2B0J</t>
  </si>
  <si>
    <t>Replacement Light, 9-32 Vdc, 16 LED - Dual Color Red/Blue</t>
  </si>
  <si>
    <t>PENT2B0K</t>
  </si>
  <si>
    <t>Replacement Light, 9-32 Vdc, 16 LED - Dual Color Red/Amber</t>
  </si>
  <si>
    <t>PENT2B0L</t>
  </si>
  <si>
    <t>Replacement Light, 9-32 Vdc, 16 LED - Dual Color Red/Green</t>
  </si>
  <si>
    <t>PENT2B0M</t>
  </si>
  <si>
    <t>Replacement Light, 9-32 Vdc, 16 LED - Dual Color Blue/Amber</t>
  </si>
  <si>
    <t>PENT2B0N</t>
  </si>
  <si>
    <t>Replacement Light, 9-32 Vdc, 16 LED - Dual Color Blue/Green</t>
  </si>
  <si>
    <t>PENT2B0P</t>
  </si>
  <si>
    <t>Replacement Light, 9-32 Vdc, 16 LED - Dual Color Green/Amber</t>
  </si>
  <si>
    <t>PENT2B0R</t>
  </si>
  <si>
    <t>Replacement Light, 9-32 Vdc, 8 LED - Single Color Red</t>
  </si>
  <si>
    <t>PENT2B0RAG</t>
  </si>
  <si>
    <t>Replacement Light, 9-32 Vdc, 18 LED - Tricolor Red/Amber/Green</t>
  </si>
  <si>
    <t>PENT2B0RAW</t>
  </si>
  <si>
    <t>Replacement Light, 9-32 Vdc, 18 LED - Tricolor Red/Amber/White</t>
  </si>
  <si>
    <t>PENT2B0RBA</t>
  </si>
  <si>
    <t>Replacement Light, 9-32 Vdc, 18 LED - Tricolor Red/Blue/Amber</t>
  </si>
  <si>
    <t>PENT2B0RBG</t>
  </si>
  <si>
    <t>Replacement Light, 9-32 Vdc, 18 LED - Tricolor Red/Blue/Green</t>
  </si>
  <si>
    <t>PENT2B0RBW</t>
  </si>
  <si>
    <t>Replacement Light, 9-32 Vdc, 18 LED - Tricolor Red/Blue/White</t>
  </si>
  <si>
    <t>PENT2B0RGW</t>
  </si>
  <si>
    <t>Replacement Light, 9-32 Vdc, 18 LED - Tricolor Red/Green/White</t>
  </si>
  <si>
    <t>PENT2B0W</t>
  </si>
  <si>
    <t>Replacement Light, 9-32 Vdc, 8 LED - Single Color White</t>
  </si>
  <si>
    <t>PENT3B0A</t>
  </si>
  <si>
    <t>Replacement Light, 9-32 Vdc, 8 LED - Single Color / Amber</t>
  </si>
  <si>
    <t>PENT3B0B</t>
  </si>
  <si>
    <t>Replacement Light, 9-32 Vdc, 8 LED - Single Color / Blue</t>
  </si>
  <si>
    <t>PENT3B0BAG</t>
  </si>
  <si>
    <t>PENT3B0BAW</t>
  </si>
  <si>
    <t>PENT3B0BGW</t>
  </si>
  <si>
    <t>PENT3B0D</t>
  </si>
  <si>
    <t>PENT3B0E</t>
  </si>
  <si>
    <t>PENT3B0F</t>
  </si>
  <si>
    <t>PENT3B0G</t>
  </si>
  <si>
    <t>Replacement Light, 9-32 Vdc, 8 LED - Single Color / Green</t>
  </si>
  <si>
    <t>PENT3B0GAW</t>
  </si>
  <si>
    <t>PENT3B0H</t>
  </si>
  <si>
    <t>PENT3B0J</t>
  </si>
  <si>
    <t>PENT3B0K</t>
  </si>
  <si>
    <t>PENT3B0L</t>
  </si>
  <si>
    <t>PENT3B0M</t>
  </si>
  <si>
    <t>PENT3B0N</t>
  </si>
  <si>
    <t>PENT3B0P</t>
  </si>
  <si>
    <t>PENT3B0R</t>
  </si>
  <si>
    <t>Replacement Light, 9-32 Vdc, 8 LED - Single Color / Red</t>
  </si>
  <si>
    <t>PENT3B0RAG</t>
  </si>
  <si>
    <t>PENT3B0RAW</t>
  </si>
  <si>
    <t>PENT3B0RBA</t>
  </si>
  <si>
    <t>PENT3B0RBG</t>
  </si>
  <si>
    <t>PENT3B0RBW</t>
  </si>
  <si>
    <t>PENT3B0W</t>
  </si>
  <si>
    <t>Replacement Light, 9-32 Vdc, 8 LED - Single Color / White</t>
  </si>
  <si>
    <t>PEPL9A0C</t>
  </si>
  <si>
    <t>Pinnacle (EPL9000) Blank Alley Light - Clear Lens/No LEDs</t>
  </si>
  <si>
    <t>PEPL9A1C-D</t>
  </si>
  <si>
    <t>Pinnacle (EPL9000) Alley Light, 15° Forward Facing, Driver Side - Clear Lens/White LEDs</t>
  </si>
  <si>
    <t>PEPL9A1C-P</t>
  </si>
  <si>
    <t>Pinnacle (EPL9000) Alley Light, 15° Forward Facing, Passenger Side - Clear Lens/White LEDs</t>
  </si>
  <si>
    <t>PEPL9A2C</t>
  </si>
  <si>
    <t>Pinnacle (EPL9000) Alley Light, Standard - Clear Lens/White LEDs</t>
  </si>
  <si>
    <t>PEPL9CP12AA</t>
  </si>
  <si>
    <t>Pinnacle (EPL9000) Corner Module w/ Fusion Boost Plus Technology - Amber Lens/Amber LEDs</t>
  </si>
  <si>
    <t>PEPL9CP12AC</t>
  </si>
  <si>
    <t>Pinnacle (EPL9000) Corner Module w/ Fusion Boost Plus Technology - Clear Lens/Amber LEDs</t>
  </si>
  <si>
    <t>PEPL9CP24FC</t>
  </si>
  <si>
    <t>Pinnacle (EPL9000) Corner Module w/ Fusion Boost Plus Technology - Clear Lens/Amber &amp; White LEDs</t>
  </si>
  <si>
    <t>PEPL9CR12AA</t>
  </si>
  <si>
    <t>Pinnacle (EPL9000) Corner Module w/ Fusion Boost Technology - Amber Lens/Amber LEDs</t>
  </si>
  <si>
    <t>PEPL9CR12AC</t>
  </si>
  <si>
    <t>Pinnacle (EPL9000) Corner Module w/ Fusion Boost Technology - Clear Lens/Amber LEDs</t>
  </si>
  <si>
    <t>PEPL9CR12BB</t>
  </si>
  <si>
    <t>Pinnacle (EPL9000) Corner Module w/ Fusion Boost Technology - Blue Lens/Blue LEDs</t>
  </si>
  <si>
    <t>PEPL9CR12BC</t>
  </si>
  <si>
    <t>Pinnacle (EPL9000) Corner Module w/ Fusion Boost Technology - Clear Lens/Blue LEDs</t>
  </si>
  <si>
    <t>PEPL9CR12GC</t>
  </si>
  <si>
    <t>Pinnacle (EPL9000) Corner Module  w/ Fusion Boost Technology - Clear Lens/Green LEDs</t>
  </si>
  <si>
    <t>PEPL9CR12RC</t>
  </si>
  <si>
    <t>Pinnacle (EPL9000) Corner Module w/ Fusion Boost Technology - Clear Lens/Red LEDs</t>
  </si>
  <si>
    <t>PEPL9CR12RR</t>
  </si>
  <si>
    <t>Pinnacle (EPL9000) Corner Module w/ Fusion Boost Technology - Red Lens/Red LEDs</t>
  </si>
  <si>
    <t>PEPL9CR12WC</t>
  </si>
  <si>
    <t>Pinnacle (EPL9000) Corner Module w/ Fusion Boost Technology - Clear Lens/White LEDs</t>
  </si>
  <si>
    <t>PEPL9CR24DC</t>
  </si>
  <si>
    <t>Pinnacle (EPL9000) Corner Module w/ Fusion Boost Technology - Clear Lens/Red &amp; White LEDs</t>
  </si>
  <si>
    <t>PEPL9CR24EC</t>
  </si>
  <si>
    <t>Pinnacle (EPL9000) Corner Module Fusion Boost Technology - Clear Lens/Blue &amp; White LEDs</t>
  </si>
  <si>
    <t>PEPL9CR24FC</t>
  </si>
  <si>
    <t>Pinnacle (EPL9000) Corner Module Fusion Boost Technology - Clear Lens/Amber &amp; White LEDs</t>
  </si>
  <si>
    <t>PEPL9CR24HC</t>
  </si>
  <si>
    <t>Pinnacle (EPL9000) Corner Module Fusion Boost Technology - Clear Lens/Green &amp; White LEDs</t>
  </si>
  <si>
    <t>PEPL9CR24WC</t>
  </si>
  <si>
    <t>Pinnacle (EPL9000) Corner Module Fusion Boost Technology - Clear Lens/White LEDs</t>
  </si>
  <si>
    <t>PEPL9CS12BB-EC</t>
  </si>
  <si>
    <t>Pinnacle (EPL9000) Corner Module, (not ECE approved) - Blue Lens/Blue LEDs</t>
  </si>
  <si>
    <t>PEPL9HB6C</t>
  </si>
  <si>
    <t>Pinnacle (EPL9000) Take Down/Work Light Module w/ Fusion Boost Plus Technology - Clear Lens/White LEDs</t>
  </si>
  <si>
    <t>PEPL9L00A</t>
  </si>
  <si>
    <t>Pinnacle (EPL9000) Blank Inboard Module - Amber Lens (no LEDs)</t>
  </si>
  <si>
    <t>PEPL9L00B</t>
  </si>
  <si>
    <t>Pinnacle (EPL9000) Blank Inboard Module - Blue Lens (no LEDs)</t>
  </si>
  <si>
    <t>PEPL9L00C</t>
  </si>
  <si>
    <t>Pinnacle (EPL9000) Blank Inboard Module - Clear Lens (no LEDs)</t>
  </si>
  <si>
    <t>PEPL9L00R</t>
  </si>
  <si>
    <t>Pinnacle (EPL9000) Blank Inboard Module - Red Lens (no LEDs)</t>
  </si>
  <si>
    <t>PEPL9LLB12AC</t>
  </si>
  <si>
    <t>Pinnacle (EPL9000) Inboard Module w/ Fusion Boost Technology, High Diode Dual Standard Lens - Clear Lens/Amber LEDs</t>
  </si>
  <si>
    <t>PEPL9LLB12DC</t>
  </si>
  <si>
    <t>Pinnacle (EPL9000) Split Inboard Module w/ Fusion Boost Technology, High Diode Standard Lens - Clear Lens/Red &amp; White LEDs (for use as center front, center rear or arrow modules)</t>
  </si>
  <si>
    <t>PEPL9LLB12EC</t>
  </si>
  <si>
    <t>Pinnacle (EPL9000) Split Inboard Module w/ Fusion Boost Technology, High Diode Standard Lens - Clear Lens/Blue &amp; White LEDs (for use as center front, center rear or arrow modules)</t>
  </si>
  <si>
    <t>PEPL9LLB12FC</t>
  </si>
  <si>
    <t>Pinnacle (EPL9000) Split Inboard Module w/ Fusion Boost Technology, High Diode Standard Lens - Clear Lens/White &amp; Amber LEDs (for use as center front, center rear or arrow modules)</t>
  </si>
  <si>
    <t>PEPL9LLB12HC</t>
  </si>
  <si>
    <t>Pinnacle (EPL9000) Split Inboard Module w/ Fusion Boost Technology, High Diode Standard Lens - Clear Lens/Green &amp; White LEDs (for use as center front, center rear or arrow modules)</t>
  </si>
  <si>
    <t>PEPL9LLB12JC</t>
  </si>
  <si>
    <t>Pinnacle (EPL9000) Split Inboard Module w/ Fusion Boost Technology, High Diode Standard Lens - Clear Lens/Red &amp; Blue LEDs (for use as center front, center rear or arrow modules)</t>
  </si>
  <si>
    <t>PEPL9LLB12KC</t>
  </si>
  <si>
    <t>Pinnacle (EPL9000) Split Inboard Module w/ Fusion Boost Technology, High Diode Standard Lens - Clear Lens/Red &amp; Amber LEDs (for use as center front, center rear or arrow modules)</t>
  </si>
  <si>
    <t>PEPL9LLB12MC</t>
  </si>
  <si>
    <t>Pinnacle (EPL9000) Split Inboard Module w/ Fusion Boost Technology, High Diode Standard Lens - Clear Lens/Blue &amp; Amber LEDs (for use as center front, center rear or arrow modules)</t>
  </si>
  <si>
    <t>PEPL9LLB12PC</t>
  </si>
  <si>
    <t>Pinnacle (EPL9000) Split Inboard Module w/ Fusion Boost Technology, High Diode Standard Lens - Clear Lens/Green &amp; Amber LEDs (for use as center front, center rear or arrow modules)</t>
  </si>
  <si>
    <t>PEPL9LLB12WC</t>
  </si>
  <si>
    <t>Pinnacle (EPL9000) Split Inboard Module w/ Fusion Boost Technology, High Diode Standard Lens - Clear Lens/White LEDs (for use as center front, center rear or arrow modules)</t>
  </si>
  <si>
    <t>PEPL9LLB12YC</t>
  </si>
  <si>
    <t>PEPL9LLB12ZC</t>
  </si>
  <si>
    <t>Pinnacle (EPL9000) Split Inboard Module w/ Fusion Boost Technology, High Diode Standard Lens - Clear Lens/Amber LEDs (for use as center front, center rear or arrow modules)</t>
  </si>
  <si>
    <t>PEPL9LLBAA</t>
  </si>
  <si>
    <t>Pinnacle (EPL9000) Inboard Module Directional Warning w/ Fusion Boost Technology - Amber Lens/Amber LEDs</t>
  </si>
  <si>
    <t>PEPL9LLBAC</t>
  </si>
  <si>
    <t>Pinnacle (EPL9000) Inboard Module Directional Warning w/ Fusion Boost Technology - Clear Lens/Amber LEDs</t>
  </si>
  <si>
    <t>PEPL9LLBBB</t>
  </si>
  <si>
    <t>Pinnacle (EPL9000) Inboard Module Directional Warning w/ Fusion Boost Technology - Blue Lens/Blue LEDs</t>
  </si>
  <si>
    <t>PEPL9LLBBC</t>
  </si>
  <si>
    <t>Pinnacle (EPL9000) Inboard Module  Directional Warning w/ Fusion Boost Technology - Clear Lens/Blue LEDs</t>
  </si>
  <si>
    <t>PEPL9LLBFC</t>
  </si>
  <si>
    <t>Pinnacle (EPL9000) Split Inboard Module, Fusion Boost Technology - Clear Lens/White &amp; Amber LEDs (for use as center front, center rear or arrow modules)</t>
  </si>
  <si>
    <t>PEPL9LLBGC</t>
  </si>
  <si>
    <t>Pinnacle (EPL9000) Inboard Module Directional Warning w/ Fusion Boost Technology - Clear Lens/Green LEDs</t>
  </si>
  <si>
    <t>PEPL9LLBJC</t>
  </si>
  <si>
    <t>Pinnacle (EPL9000) Split Inboard Module, Fusion Boost Technology - Clear Lens/Red &amp; Blue LEDs (for use as center front, center rear or arrow modules)</t>
  </si>
  <si>
    <t>PEPL9LLBKC</t>
  </si>
  <si>
    <t>Pinnacle (EPL9000) Split Inboard Module, Fusion Boost Technology - Clear Lens/Red &amp; Amber LEDs (for use as center front, center rear or arrow modules)</t>
  </si>
  <si>
    <t>PEPL9LLBMC</t>
  </si>
  <si>
    <t>Pinnacle (EPL9000) Split Inboard Module, Fusion Boost Technology - Clear Lens/Blue &amp; Amber LEDs (for use as center front, center rear or arrow modules)</t>
  </si>
  <si>
    <t>PEPL9LLBPC</t>
  </si>
  <si>
    <t>Pinnacle (EPL9000) Split Inboard Module, Fusion Boost Technology - Clear Lens/Green &amp; Amber LEDs (for use as center front, center rear or arrow modules)</t>
  </si>
  <si>
    <t>PEPL9LLBRC</t>
  </si>
  <si>
    <t>Pinnacle (EPL9000) Inboard Module Directional Warning w/ Fusion Boost Technology - Clear Lens/Red LEDs</t>
  </si>
  <si>
    <t>PEPL9LLBRR</t>
  </si>
  <si>
    <t>Pinnacle (EPL9000) Inboard Module  Directional Warning w/ Fusion Boost Technology - Red Lens/Red LEDs</t>
  </si>
  <si>
    <t>PEPL9LLBWC</t>
  </si>
  <si>
    <t>Pinnacle (EPL9000) Inboard Module Directional Warning w/ Fusion Boost Technology - Clear Lens/White LEDs</t>
  </si>
  <si>
    <t>PEPL9LLBZC</t>
  </si>
  <si>
    <t>Pinnacle (EPL9000) Split Inboard Module w/ Fusion Boost Technology - Clear Lens/Blank &amp; Amber LEDs (for use as center front, center rear or arrow modules)</t>
  </si>
  <si>
    <t>PEPL9LLH12AC</t>
  </si>
  <si>
    <t>Pinnacle (EPL9000) Inboard Module, High Diode Dual Standard Lens - Clear Lens/Amber LEDs</t>
  </si>
  <si>
    <t>PEPL9LLH12FC</t>
  </si>
  <si>
    <t>Pinnacle (EPL9000) Split Inboard Module, High Diode Standard Lens - Clear Lens/White &amp; Amber LEDs (for use as center front, center rear or arrow modules)</t>
  </si>
  <si>
    <t>PEPL9LLH12KC</t>
  </si>
  <si>
    <t>Pinnacle (EPL9000) Split Inboard Module, High Diode Standard Lens - Clear Lens/Red &amp; Amber LEDs (for use as center front, center rear or arrow modules)</t>
  </si>
  <si>
    <t>PEPL9LLH12MC</t>
  </si>
  <si>
    <t>Pinnacle (EPL9000) Split Inboard Module, High Diode Standard Lens - Clear Lens/Blue &amp; Amber LEDs (for use as center front, center rear or arrow modules)</t>
  </si>
  <si>
    <t>PEPL9LLH12PC</t>
  </si>
  <si>
    <t>Pinnacle (EPL9000) Split Inboard Module, High Diode Standard Lens - Clear Lens/Green &amp; Amber LEDs (for use as center front, center rear or arrow modules)</t>
  </si>
  <si>
    <t>PEPL9LLP12AC</t>
  </si>
  <si>
    <t>Pinnacle (EPL9000) Inboard Module w/ Fusion Boost Plus Technology, High Diode Standard Lens - Clear Lens/Dual Amber/Amber LEDs (for use as center front, center rear or arrow modules)</t>
  </si>
  <si>
    <t>PEPL9LLP12FC</t>
  </si>
  <si>
    <t>Pinnacle (EPL9000) Split Inboard Module w/ Fusion Boost Plus Technology, High Diode Standard Lens - Clear Lens/Dual Amber &amp; White LEDs (for use as center front, center rear or arrow modules)</t>
  </si>
  <si>
    <t>PEPL9LLP12KC</t>
  </si>
  <si>
    <t>Pinnacle (EPL9000) Split Inboard Module w/ Fusion Boost Plus Technology, High Diode Standard Lens - Clear Lens/Dual Red &amp; Amber LEDs (for use as center front, center rear or arrow modules)</t>
  </si>
  <si>
    <t>PEPL9LLP12MC</t>
  </si>
  <si>
    <t>Pinnacle (EPL9000) Split Inboard Module w/ Fusion Boost Plus Technology, High Diode Standard Lens - Clear Lens/Dual Blue &amp; Amber LEDs (for use as center front, center rear or arrow modules)</t>
  </si>
  <si>
    <t>PEPL9LLP12PC</t>
  </si>
  <si>
    <t>Pinnacle (EPL9000) Split Inboard Module w/ Fusion Boost Plus Technology, High Diode Standard Lens - Clear Lens/Dual Green &amp; Amber LEDs (for use as center front, center rear or arrow modules)</t>
  </si>
  <si>
    <t>PEPL9LLP12ZC</t>
  </si>
  <si>
    <t>Pinnacle (EPL9000) Split Inboard Module w/ Fusion Boost Plus Technology, High Diode Standard Lens - Clear Lens/Amber LEDs (for use as center front, center rear or arrow modules)</t>
  </si>
  <si>
    <t>PEPL9LLPAA</t>
  </si>
  <si>
    <t>Pinnacle (EPL9000) Inboard Module Directional Warning w/ Fusion Boost Plus Technology - Amber Lens/Amber LEDs</t>
  </si>
  <si>
    <t>PEPL9LLPAC</t>
  </si>
  <si>
    <t>Pinnacle (EPL9000) Inboard Module Directional Warning w/ Fusion Boost Plus Technology - Clear Lens/Amber LEDs</t>
  </si>
  <si>
    <t>PEPL9LLRBC</t>
  </si>
  <si>
    <t>Pinnacle (EPL9000) Split Inboard Module, Standard Lens – Clear Lens/Blue LEDs</t>
  </si>
  <si>
    <t>PEPL9LLRMC</t>
  </si>
  <si>
    <t>Pinnacle (EPL9000) Split Inboard Module, Standard Lens – Clear Lens/Blue &amp; Amber LEDs (for use as center front, center rear or arrow modules)</t>
  </si>
  <si>
    <t>PFD4CGL1AB</t>
  </si>
  <si>
    <t>Replacement Ford 4-Corner GHOST® Multi-Mount Light, ID #2, Driver Side (DS) Solid Color - Clear Lens/Amber LEDs</t>
  </si>
  <si>
    <t>PFD4CGL1BB</t>
  </si>
  <si>
    <t>Replacement Ford 4-Corner GHOST® Multi-Mount Light, ID #2, Driver Side (DS) Solid Color - Clear Lens/Blue LEDs</t>
  </si>
  <si>
    <t>PFD4CGL1DB</t>
  </si>
  <si>
    <t>Replacement Ford 4-Corner GHOST® Multi-Mount Light, ID #2, Driver Side (DS) Dual Color - Clear Lens/Red &amp; White LEDs</t>
  </si>
  <si>
    <t>PFD4CGL1EB</t>
  </si>
  <si>
    <t>Replacement Ford 4-Corner GHOST® Multi-Mount Light, ID #2, Driver Side (DS) Dual Color - Clear Lens/Blue &amp; White LEDs</t>
  </si>
  <si>
    <t>PFD4CGL1FB</t>
  </si>
  <si>
    <t>Replacement Ford 4-Corner GHOST® Multi-Mount Light, ID #2, Driver Side (DS) Dual Color - Clear Lens/Amber &amp; White LEDs</t>
  </si>
  <si>
    <t>PFD4CGL1HB</t>
  </si>
  <si>
    <t>Replacement Ford 4-Corner GHOST® Multi-Mount Light, ID #2, Driver Side (DS) Dual Color - Clear Lens/Green &amp; White LEDs</t>
  </si>
  <si>
    <t>PFD4CGL1JB</t>
  </si>
  <si>
    <t>Replacement Ford 4-Corner GHOST® Multi-Mount Light, ID #2, Driver Side (DS) Dual Color - Clear Lens/Red &amp; Blue LEDs</t>
  </si>
  <si>
    <t>PFD4CGL1KB</t>
  </si>
  <si>
    <t>Replacement Ford 4-Corner GHOST® Multi-Mount Light, ID #2, Driver Side (DS) Dual Color - Clear Lens/Red &amp; Amber LEDs</t>
  </si>
  <si>
    <t>PFD4CGL1PB</t>
  </si>
  <si>
    <t>Replacement Ford 4-Corner GHOST® Multi-Mount Light, ID #2, Driver Side (DS) Dual Color - Clear Lens/Green &amp; Amber LEDs</t>
  </si>
  <si>
    <t>PFD4CGL1RB</t>
  </si>
  <si>
    <t>Replacement Ford 4-Corner GHOST® Multi-Mount Light, ID #2, Driver Side (DS) Solid Color - Clear Lens/Red LEDs</t>
  </si>
  <si>
    <t>PFD4CGL2AB</t>
  </si>
  <si>
    <t>Replacement Ford 4-Corner GHOST® Multi-Mount Light, ID #4, Passenger Side (PS) Solid Color - Clear Lens/Amber LEDs</t>
  </si>
  <si>
    <t>PFD4CGL2BB</t>
  </si>
  <si>
    <t>Replacement Ford 4-Corner GHOST® Multi-Mount Light, ID #4, Passenger Side (PS) Solid Color - Clear Lens/Blue LEDs</t>
  </si>
  <si>
    <t>PFD4CGL2DB</t>
  </si>
  <si>
    <t>Replacement Ford 4-Corner GHOST® Multi-Mount Light, ID #4, Passenger Side (PS) Dual Color - Clear Lens/Red &amp; White LEDs</t>
  </si>
  <si>
    <t>PFD4CGL2EB</t>
  </si>
  <si>
    <t>Replacement Ford 4-Corner GHOST® Multi-Mount Light, ID #4, Passenger Side (PS) Dual Color - Clear Lens/Blue &amp; White LEDs</t>
  </si>
  <si>
    <t>PFD4CGL2FB</t>
  </si>
  <si>
    <t>Replacement Ford 4-Corner GHOST® Multi-Mount Light, ID #4, Passenger Side (PS) Dual Color - Clear Lens/Amber &amp; White LEDs</t>
  </si>
  <si>
    <t>PFD4CGL2HB</t>
  </si>
  <si>
    <t>Replacement Ford 4-Corner GHOST® Multi-Mount Light, ID #4, Passenger Side (PS) Dual Color - Clear Lens/Green &amp; White LEDs</t>
  </si>
  <si>
    <t>PFD4CGL2JB</t>
  </si>
  <si>
    <t>Replacement Ford 4-Corner GHOST® Multi-Mount Light, ID #4, Passenger Side (PS) Dual Color - Clear Lens/Red&amp; Blue LEDs</t>
  </si>
  <si>
    <t>PFD4CGL2KB</t>
  </si>
  <si>
    <t>Replacement Ford 4-Corner GHOST® Multi-Mount Light, ID #4, Passenger Side (PS) Dual Color - Clear Lens/Red&amp; Amber LEDs</t>
  </si>
  <si>
    <t>PFD4CGL2PB</t>
  </si>
  <si>
    <t>Replacement Ford 4-Corner GHOST® Multi-Mount Light, ID #4, Passenger Side (PS) Dual Color - Clear Lens/Green &amp; Amber LEDs</t>
  </si>
  <si>
    <t>PFD4CGL2RB</t>
  </si>
  <si>
    <t>Replacement Ford 4-Corner GHOST® Multi-Mount Light, ID #4, Passenger Side (PS) Solid Color - Clear Lens/Red LEDs</t>
  </si>
  <si>
    <t>PMPGLLS0B</t>
  </si>
  <si>
    <t>4" Blank Module for Grid Light - Black (no LEDs)</t>
  </si>
  <si>
    <t>PMPGLLS0S</t>
  </si>
  <si>
    <t>4" Blank Module for Grid Light - Silver (no LEDs)</t>
  </si>
  <si>
    <t>PMPGLLSD212DC</t>
  </si>
  <si>
    <t>12 LED 4" Inboard Module for Grid Light - Dual Color Red/White - Clear Lens</t>
  </si>
  <si>
    <t>PMPGLLSD212EC</t>
  </si>
  <si>
    <t>12 LED 4" Inboard Module for Grid Light - Dual Color Blue/White - Clear Lens</t>
  </si>
  <si>
    <t>PMPGLLSD212FC</t>
  </si>
  <si>
    <t>12 LED 4" Inboard Module for Grid Light - Dual Color Amber/White - Clear Lens</t>
  </si>
  <si>
    <t>PMPGLLSD212HC</t>
  </si>
  <si>
    <t>12 LED 4" Inboard Module for Grid Light - Dual Color Green/White - Clear Lens</t>
  </si>
  <si>
    <t>PMPGLLSD212JC</t>
  </si>
  <si>
    <t>12 LED 4" Inboard Module for Grid Light - Dual Color Red/Blue - Clear Lens</t>
  </si>
  <si>
    <t>PMPGLLSD212KC</t>
  </si>
  <si>
    <t>12 LED 4" Inboard Module for Grid Light - Dual Color Red/Amber - Clear Lens</t>
  </si>
  <si>
    <t>PMPGLLSD212LC</t>
  </si>
  <si>
    <t>12 LED 4" Inboard Module for Grid Light - Dual Color Red/Green - Clear Lens</t>
  </si>
  <si>
    <t>PMPGLLSD212MC</t>
  </si>
  <si>
    <t>12 LED 4" Inboard Module for Grid Light - Dual Color Blue/Amber - Clear Lens</t>
  </si>
  <si>
    <t>PMPGLLSD212NC</t>
  </si>
  <si>
    <t>12 LED 4" Inboard Module for Grid Light - Dual Color Blue/Green - Clear Lens</t>
  </si>
  <si>
    <t>PMPGLLSD212PC</t>
  </si>
  <si>
    <t>12 LED 4" Inboard Module for Grid Light - Dual Color Green/Amber - Clear Lens</t>
  </si>
  <si>
    <t>PMPGLLSS206AC</t>
  </si>
  <si>
    <t>6 LED 4" Inboard Module for Grid Light - Single Color Amber/Clear Lens</t>
  </si>
  <si>
    <t>PMPGLLSS206BC</t>
  </si>
  <si>
    <t>6 LED 4" Inboard Module for Grid Light - Single Color Blue/Clear Lens</t>
  </si>
  <si>
    <t>PMPGLLSS206GC</t>
  </si>
  <si>
    <t>6 LED 4" Inboard Module for Grid Light - Single Color Green/Clear Lens</t>
  </si>
  <si>
    <t>PMPGLLSS206RC</t>
  </si>
  <si>
    <t>6 LED 4" Inboard Module for Grid Light - Single Color Red/Clear Lens</t>
  </si>
  <si>
    <t>PMPGLLSS206WC</t>
  </si>
  <si>
    <t>6 LED 4" Inboard Module for Grid Light - Single Color White/Clear Lens</t>
  </si>
  <si>
    <t>PMPGLLSS208AC</t>
  </si>
  <si>
    <t>8 LED 4" Inboard Module for Grid Light - Single Color Amber/Clear Lens</t>
  </si>
  <si>
    <t>PMPGLLSS208BC</t>
  </si>
  <si>
    <t>8 LED 4" Inboard Module for Grid Light - Single Color Blue/Clear Lens</t>
  </si>
  <si>
    <t>PMPGLLSS208GC</t>
  </si>
  <si>
    <t>8 LED 4" Inboard Module for Grid Light - Single Color Green/Clear Lens</t>
  </si>
  <si>
    <t>PMPGLLSS208RC</t>
  </si>
  <si>
    <t>8 LED 4" Inboard Module for Grid Light - Single Color Red/Clear Lens</t>
  </si>
  <si>
    <t>PMPGLLSS208WC</t>
  </si>
  <si>
    <t>8 LED 4" Inboard Module for Grid Light - Single Color White/Clear Lens</t>
  </si>
  <si>
    <t>PMPGLLST218BAGC</t>
  </si>
  <si>
    <t>18 LED 4" Inboard Module for Grid Light - Tricolor Blue/Amber/Green - Clear Lens</t>
  </si>
  <si>
    <t>PMPGLLST218BAWC</t>
  </si>
  <si>
    <t>18 LED 4" Inboard Module for Grid Light - Tricolor Blue/Amber/White - Clear Lens</t>
  </si>
  <si>
    <t>PMPGLLST218BGWC</t>
  </si>
  <si>
    <t>18 LED 4" Inboard Module for Grid Light - Tricolor Blue/Green/White - Clear Lens</t>
  </si>
  <si>
    <t>PMPGLLST218GAWC</t>
  </si>
  <si>
    <t>18 LED 4" Inboard Module for Grid Light - Tricolor Green/Amber/White - Clear Lens</t>
  </si>
  <si>
    <t>PMPGLLST218RAGC</t>
  </si>
  <si>
    <t>18 LED 4" Inboard Module for Grid Light - Tricolor Red/Amber/Green - Clear Lens</t>
  </si>
  <si>
    <t>PMPGLLST218RAWC</t>
  </si>
  <si>
    <t>18 LED 4" Inboard Module for Grid Light - Tricolor Red/Amber/White - Clear Lens</t>
  </si>
  <si>
    <t>PMPGLLST218RBAC</t>
  </si>
  <si>
    <t>18 LED 4" Inboard Module for Grid Light - Tricolor Red/Blue/Amber - Clear Lens</t>
  </si>
  <si>
    <t>PMPGLLST218RBGC</t>
  </si>
  <si>
    <t>18 LED 4" Inboard Module for Grid Light - Tricolor Red/Blue/Green - Clear Lens</t>
  </si>
  <si>
    <t>PMPGLLST218RBWC</t>
  </si>
  <si>
    <t>18 LED 4" Inboard Module for Grid Light - Tricolor Red/Blue/White - Clear Lens</t>
  </si>
  <si>
    <t>PMPGLLST218RGWC</t>
  </si>
  <si>
    <t>18 LED 4" Inboard Module for Grid Light - Tricolor Red/Green/White - Clear Lens</t>
  </si>
  <si>
    <t>PMPLBCSD208DC</t>
  </si>
  <si>
    <t>8 LED 3" Corner Module for Exterior Lightbar - Dual Color Red/White - Clear Lens</t>
  </si>
  <si>
    <t>PMPLBCSD208DS</t>
  </si>
  <si>
    <t>8 LED 3" Corner Module for mpower® Exterior Lightbar, Stealth Lens, Dual Color Red/White</t>
  </si>
  <si>
    <t>PMPLBCSD208EC</t>
  </si>
  <si>
    <t>8 LED 3" Corner Module for Exterior Lightbar - Dual Color Blue/White - Clear Lens</t>
  </si>
  <si>
    <t>PMPLBCSD208ES</t>
  </si>
  <si>
    <t>8 LED 3" Corner Module for mpower® Exterior Lightbar, Stealth Lens, Dual Color Blue/White</t>
  </si>
  <si>
    <t>PMPLBCSD208FC</t>
  </si>
  <si>
    <t>8 LED 3" Corner Module for Exterior Lightbar - Dual Color Amber/White - Clear Lens</t>
  </si>
  <si>
    <t>PMPLBCSD208FS</t>
  </si>
  <si>
    <t>8 LED 3" Corner Module for mpower® Exterior Lightbar, Stealth Lens, Dual Color Amber/White</t>
  </si>
  <si>
    <t>PMPLBCSD208HC</t>
  </si>
  <si>
    <t>8 LED 3" Corner Module for Exterior Lightbar - Dual Color Green/White - Clear Lens</t>
  </si>
  <si>
    <t>PMPLBCSD208HS</t>
  </si>
  <si>
    <t>8 LED 3" Corner Module for mpower® Exterior Lightbar, Stealth Lens, Dual Color Green/White</t>
  </si>
  <si>
    <t>PMPLBCSD208JC</t>
  </si>
  <si>
    <t>8 LED 3" Corner Module for Exterior Lightbar - Dual Color Red/Blue - Clear Lens</t>
  </si>
  <si>
    <t>PMPLBCSD208JS</t>
  </si>
  <si>
    <t>8 LED 3" Corner Module for mpower® Exterior Lightbar, Stealth Lens, Dual Color Red/Blue</t>
  </si>
  <si>
    <t>PMPLBCSD208KC</t>
  </si>
  <si>
    <t>8 LED 3" Corner Module for Exterior Lightbar - Dual Color Red/Amber - Clear Lens</t>
  </si>
  <si>
    <t>PMPLBCSD208KS</t>
  </si>
  <si>
    <t>8 LED 3" Corner Module for mpower® Exterior Lightbar, Stealth Lens, Dual Color Red/Amber</t>
  </si>
  <si>
    <t>PMPLBCSD208LC</t>
  </si>
  <si>
    <t>8 LED 3" Corner Module for Exterior Lightbar - Dual Color Red/Green - Clear Lens</t>
  </si>
  <si>
    <t>PMPLBCSD208LS</t>
  </si>
  <si>
    <t>8 LED 3" Corner Module for mpower® Exterior Lightbar, Stealth Lens, Dual Color Red/Green</t>
  </si>
  <si>
    <t>PMPLBCSD208MC</t>
  </si>
  <si>
    <t>8 LED 3" Corner Module for Exterior Lightbar - Dual Color Blue/Amber - Clear Lens</t>
  </si>
  <si>
    <t>PMPLBCSD208MS</t>
  </si>
  <si>
    <t>8 LED 3" Corner Module for mpower® Exterior Lightbar, Stealth Lens, Dual Color Blue/Amber</t>
  </si>
  <si>
    <t>PMPLBCSD208NC</t>
  </si>
  <si>
    <t>8 LED 3" Corner Module for Exterior Lightbar - Dual Color Blue/Green - Clear Lens</t>
  </si>
  <si>
    <t>PMPLBCSD208NS</t>
  </si>
  <si>
    <t>8 LED 3" Corner Module for mpower® Exterior Lightbar, Stealth Lens, Dual Color Blue/Green</t>
  </si>
  <si>
    <t>PMPLBCSD208PC</t>
  </si>
  <si>
    <t>8 LED 3" Corner Module for Exterior Lightbar - Dual Color Green/Amber - Clear Lens</t>
  </si>
  <si>
    <t>PMPLBCSD208PS</t>
  </si>
  <si>
    <t>8 LED 3" Corner Module for mpower® Exterior Lightbar, Stealth Lens, Dual Color Green/Amber</t>
  </si>
  <si>
    <t>PMPLBCSS204AC</t>
  </si>
  <si>
    <t>4 LED 3" Corner Module for Exterior Lightbar - Single Color Amber/Clear Lens</t>
  </si>
  <si>
    <t>PMPLBCSS204AS</t>
  </si>
  <si>
    <t>4 LED 3" Corner Module for mpower® Exterior Lightbar, Stealth Lens, Single Color Amber</t>
  </si>
  <si>
    <t>PMPLBCSS204BC</t>
  </si>
  <si>
    <t>4 LED 3" Corner Module for Exterior Lightbar - Single Color Blue/Clear Lens</t>
  </si>
  <si>
    <t>PMPLBCSS204BS</t>
  </si>
  <si>
    <t>4 LED 3" Corner Module for mpower® Exterior Lightbar, Stealth Lens, Single Color Blue</t>
  </si>
  <si>
    <t>PMPLBCSS204GC</t>
  </si>
  <si>
    <t>4 LED 3" Corner Module for Exterior Lightbar - Single Color Green/Clear Lens</t>
  </si>
  <si>
    <t>PMPLBCSS204GS</t>
  </si>
  <si>
    <t>4 LED 3" Corner Module for mpower® Exterior Lightbar, Stealth Lens, Single Color Green</t>
  </si>
  <si>
    <t>PMPLBCSS204RC</t>
  </si>
  <si>
    <t>4 LED 3" Corner Module for Exterior Lightbar - Single Color Red/Clear Lens</t>
  </si>
  <si>
    <t>PMPLBCSS204RS</t>
  </si>
  <si>
    <t>4 LED 3" Corner Module for mpower® Exterior Lightbar, Stealth Lens, Single Color Red</t>
  </si>
  <si>
    <t>PMPLBCSS204WC</t>
  </si>
  <si>
    <t>4 LED 3" Corner Module for Exterior Lightbar - Single Color White/Clear Lens</t>
  </si>
  <si>
    <t>PMPLBCSS204WS</t>
  </si>
  <si>
    <t>4 LED 3" Corner Module for mpower® Exterior Lightbar, Stealth Lens, Single Color White</t>
  </si>
  <si>
    <t>PMPLBCSS208AC</t>
  </si>
  <si>
    <t>8 LED 3" Corner Module for Exterior Lightbar - Single Color Amber/Clear Lens</t>
  </si>
  <si>
    <t>PMPLBCSS208AS</t>
  </si>
  <si>
    <t>8 LED 3" Corner Module for mpower® Exterior Lightbar, Stealth Lens, Single Color Amber</t>
  </si>
  <si>
    <t>PMPLBCSS208BC</t>
  </si>
  <si>
    <t>8 LED 3" Corner Module for Exterior Lightbar - Single Color Blue/Clear Lens</t>
  </si>
  <si>
    <t>PMPLBCSS208BS</t>
  </si>
  <si>
    <t>8 LED 3" Corner Module for mpower® Exterior Lightbar, Stealth Lens, Single Color Blue</t>
  </si>
  <si>
    <t>PMPLBCSS208GC</t>
  </si>
  <si>
    <t>8 LED 3" Corner Module for Exterior Lightbar - Single Color Green/Clear Lens</t>
  </si>
  <si>
    <t>PMPLBCSS208GS</t>
  </si>
  <si>
    <t>8 LED 3" Corner Module for mpower® Exterior Lightbar, Stealth Lens, Single Color Green</t>
  </si>
  <si>
    <t>PMPLBCSS208RC</t>
  </si>
  <si>
    <t>8 LED 3" Corner Module for Exterior Lightbar - Single Color Red/Clear Lens</t>
  </si>
  <si>
    <t>PMPLBCSS208RS</t>
  </si>
  <si>
    <t>8 LED 3" Corner Module for mpower® Exterior Lightbar, Stealth Lens, Single Color Red</t>
  </si>
  <si>
    <t>PMPLBCSS208WC</t>
  </si>
  <si>
    <t>8 LED 3" Corner Module for Exterior Lightbar - Single Color White/Clear Lens</t>
  </si>
  <si>
    <t>PMPLBCSS208WS</t>
  </si>
  <si>
    <t>8 LED 3" Corner Module for mpower® Exterior Lightbar, Stealth Lens, Single Color White</t>
  </si>
  <si>
    <t>PMPLBCST212BAGC</t>
  </si>
  <si>
    <t>12 LED 3" Corner Module for Exterior Lightbar - Tricolor Blue/Amber/Green - Clear Lens</t>
  </si>
  <si>
    <t>PMPLBCST212BAGS</t>
  </si>
  <si>
    <t>12 LED 3" Corner Module for mpower® Exterior Lightbar, Stealth Lens, Tricolor Blue/Amber/Green</t>
  </si>
  <si>
    <t>PMPLBCST212BAWC</t>
  </si>
  <si>
    <t>12 LED 3" Corner Module for Exterior Lightbar - Tricolor Blue/Amber/White - Clear Lens</t>
  </si>
  <si>
    <t>PMPLBCST212BAWS</t>
  </si>
  <si>
    <t>12 LED 3" Corner Module for mpower® Exterior Lightbar, Stealth Lens, Tricolor Blue/Amber/White</t>
  </si>
  <si>
    <t>PMPLBCST212BGWC</t>
  </si>
  <si>
    <t>12 LED 3" Corner Module for Exterior Lightbar - Tricolor Blue/Green/White - Clear Lens</t>
  </si>
  <si>
    <t>PMPLBCST212BGWS</t>
  </si>
  <si>
    <t>12 LED 3" Corner Module for mpower® Exterior Lightbar, Stealth Lens, Tricolor Blue/Green/White</t>
  </si>
  <si>
    <t>PMPLBCST212GAWC</t>
  </si>
  <si>
    <t>12 LED 3" Corner Module for Exterior Lightbar - Tricolor Green/Amber/White - Clear Lens</t>
  </si>
  <si>
    <t>PMPLBCST212GAWS</t>
  </si>
  <si>
    <t>12 LED 3" Corner Module for mpower® Exterior Lightbar, Stealth Lens, Tricolor Green/Amber/White</t>
  </si>
  <si>
    <t>PMPLBCST212RAGC</t>
  </si>
  <si>
    <t>12 LED 3" Corner Module for Exterior Lightbar - Tricolor Red/Amber/Green - Clear Lens</t>
  </si>
  <si>
    <t>PMPLBCST212RAGS</t>
  </si>
  <si>
    <t>12 LED 3" Corner Module for mpower® Exterior Lightbar, Stealth Lens, Tricolor Red/Amber/Green</t>
  </si>
  <si>
    <t>PMPLBCST212RAWC</t>
  </si>
  <si>
    <t>12 LED 3" Corner Module for Exterior Lightbar - Tricolor Red/Amber/White - Clear Lens</t>
  </si>
  <si>
    <t>PMPLBCST212RAWS</t>
  </si>
  <si>
    <t>12 LED 3" Corner Module for mpower® Exterior Lightbar, Stealth Lens, Tricolor Red/Amber/White</t>
  </si>
  <si>
    <t>PMPLBCST212RBAC</t>
  </si>
  <si>
    <t>12 LED 3" Corner Module for Exterior Lightbar - Tricolor Red/Blue/Amber - Clear Lens</t>
  </si>
  <si>
    <t>PMPLBCST212RBAS</t>
  </si>
  <si>
    <t>12 LED 3" Corner Module for mpower® Exterior Lightbar, Stealth Lens, Tricolor Red/Blue/Amber</t>
  </si>
  <si>
    <t>PMPLBCST212RBGC</t>
  </si>
  <si>
    <t>12 LED 3" Corner Module for Exterior Lightbar - Tricolor Red/Blue/Green - Clear Lens</t>
  </si>
  <si>
    <t>PMPLBCST212RBGS</t>
  </si>
  <si>
    <t>12 LED 3" Corner Module for mpower® Exterior Lightbar, Stealth Lens, Tricolor Red/Blue/Green</t>
  </si>
  <si>
    <t>PMPLBCST212RBWC</t>
  </si>
  <si>
    <t>12 LED 3" Corner Module for Exterior Lightbar - Tricolor Red/Blue/White - Clear Lens</t>
  </si>
  <si>
    <t>PMPLBCST212RBWS</t>
  </si>
  <si>
    <t>12 LED 3" Corner Module for mpower® Exterior Lightbar, Stealth Lens, Tricolor Red/Blue/White</t>
  </si>
  <si>
    <t>PMPLBCST212RGWC</t>
  </si>
  <si>
    <t>12 LED 3" Corner Module for Exterior Lightbar - Tricolor Red/Green/White - Clear Lens</t>
  </si>
  <si>
    <t>PMPLBCST212RGWS</t>
  </si>
  <si>
    <t>12 LED 3" Corner Module for mpower® Exterior Lightbar, Stealth Lens, Tricolor Red/Green/White</t>
  </si>
  <si>
    <t>PMPLBLLD212DC</t>
  </si>
  <si>
    <t>12 LED 6 inch Inboard Module for Exterior Lightbar - Dual Color Red/White - Clear Lens</t>
  </si>
  <si>
    <t>PMPLBLLD212DS</t>
  </si>
  <si>
    <t>12 LED 6" Inboard Module for mpower® Exterior Lightbar, Stealth Lens, Dual Color Red/White</t>
  </si>
  <si>
    <t>PMPLBLLD212EC</t>
  </si>
  <si>
    <t>12 LED 6 inch Inboard Module for Exterior Lightbar - Dual Color Blue/White - Clear Lens</t>
  </si>
  <si>
    <t>PMPLBLLD212ES</t>
  </si>
  <si>
    <t>12 LED 6" Inboard Module for mpower® Exterior Lightbar, Stealth Lens, Dual Color Blue/White</t>
  </si>
  <si>
    <t>PMPLBLLD212FC</t>
  </si>
  <si>
    <t>12 LED 6 inch Inboard Module for Exterior Lightbar - Dual Color Amber/White - Clear Lens</t>
  </si>
  <si>
    <t>PMPLBLLD212FS</t>
  </si>
  <si>
    <t>12 LED 6" Inboard Module for mpower® Exterior Lightbar, Stealth Lens, Dual Color Amber/White</t>
  </si>
  <si>
    <t>PMPLBLLD212HC</t>
  </si>
  <si>
    <t>12 LED 6 inch Inboard Module for Exterior Lightbar - Dual Color Green/White - Clear Lens</t>
  </si>
  <si>
    <t>PMPLBLLD212HS</t>
  </si>
  <si>
    <t>12 LED 6" Inboard Module for mpower® Exterior Lightbar, Stealth Lens, Dual Color Green/White</t>
  </si>
  <si>
    <t>PMPLBLLD212JC</t>
  </si>
  <si>
    <t>12 LED 6 inch Inboard Module for Exterior Lightbar - Dual Color Red/Blue - Clear Lens</t>
  </si>
  <si>
    <t>PMPLBLLD212JS</t>
  </si>
  <si>
    <t>12 LED 6" Inboard Module for mpower® Exterior Lightbar, Stealth Lens, Dual Color Red/Blue</t>
  </si>
  <si>
    <t>PMPLBLLD212KC</t>
  </si>
  <si>
    <t>12 LED 6 inch Inboard Module for Exterior Lightbar - Dual Color Red/Amber - Clear Lens</t>
  </si>
  <si>
    <t>PMPLBLLD212KS</t>
  </si>
  <si>
    <t>12 LED 6" Inboard Module for mpower® Exterior Lightbar, Stealth Lens, Dual Color Red/Amber</t>
  </si>
  <si>
    <t>PMPLBLLD212LC</t>
  </si>
  <si>
    <t>12 LED 6 inch Inboard Module for Exterior Lightbar - Dual Color Red/Green - Clear Lens</t>
  </si>
  <si>
    <t>PMPLBLLD212LS</t>
  </si>
  <si>
    <t>12 LED 6" Inboard Module for mpower® Exterior Lightbar, Stealth Lens, Dual Color Red/Green</t>
  </si>
  <si>
    <t>PMPLBLLD212MC</t>
  </si>
  <si>
    <t>12 LED 6 inch Inboard Module for Exterior Lightbar - Dual Color Blue/Amber - Clear Lens</t>
  </si>
  <si>
    <t>PMPLBLLD212MS</t>
  </si>
  <si>
    <t>12 LED 6" Inboard Module for mpower® Exterior Lightbar, Stealth Lens, Dual Color Blue/Amber</t>
  </si>
  <si>
    <t>PMPLBLLD212NC</t>
  </si>
  <si>
    <t>12 LED 6 inch Inboard Module for Exterior Lightbar - Dual Color Blue/Green - Clear Lens</t>
  </si>
  <si>
    <t>PMPLBLLD212NS</t>
  </si>
  <si>
    <t>12 LED 6" Inboard Module for mpower® Exterior Lightbar, Stealth Lens, Dual Color Blue/Green</t>
  </si>
  <si>
    <t>PMPLBLLD212PC</t>
  </si>
  <si>
    <t>12 LED 6 inch Inboard Module for Exterior Lightbar - Dual Color Green/Amber - Clear Lens</t>
  </si>
  <si>
    <t>PMPLBLLD212PS</t>
  </si>
  <si>
    <t>12 LED 6" Inboard Module for mpower® Exterior Lightbar, Stealth Lens, Dual Color Green/Amber</t>
  </si>
  <si>
    <t>PMPLBLLS206AC</t>
  </si>
  <si>
    <t>6 LED 6 inch Inboard Module for Exterior Lightbar - Single Color Amber/Clear Lens</t>
  </si>
  <si>
    <t>PMPLBLLS206AS</t>
  </si>
  <si>
    <t>6 LED 6" Inboard Module for mpower® Exterior Lightbar, Stealth Lens, Single Color Amber</t>
  </si>
  <si>
    <t>PMPLBLLS206BC</t>
  </si>
  <si>
    <t>6 LED 6 inch Inboard Module for Exterior Lightbar - Single Color Blue/Clear Lens</t>
  </si>
  <si>
    <t>PMPLBLLS206BS</t>
  </si>
  <si>
    <t>6 LED 6" Inboard Module for mpower® Exterior Lightbar, Stealth Lens, Single Color Blue</t>
  </si>
  <si>
    <t>PMPLBLLS206GC</t>
  </si>
  <si>
    <t>6 LED 6 inch Inboard Module for Exterior Lightbar - Single Color Green/Clear Lens</t>
  </si>
  <si>
    <t>PMPLBLLS206GS</t>
  </si>
  <si>
    <t>6 LED 6" Inboard Module for mpower® Exterior Lightbar, Stealth Lens, Single Color Green</t>
  </si>
  <si>
    <t>PMPLBLLS206RC</t>
  </si>
  <si>
    <t>6 LED 6 inch Inboard Module for Exterior Lightbar - Single Color Red/Clear Lens</t>
  </si>
  <si>
    <t>PMPLBLLS206RS</t>
  </si>
  <si>
    <t>6 LED 6" Inboard Module for mpower® Exterior Lightbar, Stealth Lens, Single Color Red</t>
  </si>
  <si>
    <t>PMPLBLLS206WC</t>
  </si>
  <si>
    <t>6 LED 6 inch Inboard Module for Exterior Lightbar - Single Color White/Clear Lens</t>
  </si>
  <si>
    <t>PMPLBLLS206WS</t>
  </si>
  <si>
    <t>6 LED 6" Inboard Module for mpower® Exterior Lightbar, Stealth Lens, Single Color White</t>
  </si>
  <si>
    <t>PMPLBLLS208AC</t>
  </si>
  <si>
    <t>8 LED 6 inch Inboard Module for Exterior Lightbar - Single Color Amber/Clear Lens</t>
  </si>
  <si>
    <t>PMPLBLLS208AS</t>
  </si>
  <si>
    <t>8 LED 6" Inboard Module for mpower® Exterior Lightbar, Stealth Lens, Single Color Amber</t>
  </si>
  <si>
    <t>PMPLBLLS208BC</t>
  </si>
  <si>
    <t>8 LED 6 inch Inboard Module for Exterior Lightbar - Single Color Blue/Clear Lens</t>
  </si>
  <si>
    <t>PMPLBLLS208BS</t>
  </si>
  <si>
    <t>8 LED 6" Inboard Module for mpower® Exterior Lightbar, Stealth Lens, Single Color Blue</t>
  </si>
  <si>
    <t>PMPLBLLS208GC</t>
  </si>
  <si>
    <t>8 LED 6 inch Inboard Module for Exterior Lightbar - Single Color Green/Clear Lens</t>
  </si>
  <si>
    <t>PMPLBLLS208GS</t>
  </si>
  <si>
    <t>PMPLBLLS208RC</t>
  </si>
  <si>
    <t>8 LED 6 inch Inboard Module for Exterior Lightbar - Single Color Red/Clear Lens</t>
  </si>
  <si>
    <t>PMPLBLLS208RS</t>
  </si>
  <si>
    <t>8 LED 6" Inboard Module for mpower® Exterior Lightbar, Stealth Lens, Single Color Red</t>
  </si>
  <si>
    <t>PMPLBLLS208WC</t>
  </si>
  <si>
    <t>8 LED 6 inch Inboard Module for Exterior Lightbar - Single Color White/Clear Lens</t>
  </si>
  <si>
    <t>PMPLBLLS208WS</t>
  </si>
  <si>
    <t>8 LED 6" Inboard Module for mpower® Exterior Lightbar, Stealth Lens, Single Color White</t>
  </si>
  <si>
    <t>PMPLBLLT218BAGC</t>
  </si>
  <si>
    <t>18 LED 6 inch Inboard Module for Exterior Lightbar - Tricolor Blue/Amber/Green - Clear Lens</t>
  </si>
  <si>
    <t>PMPLBLLT218BAGS</t>
  </si>
  <si>
    <t>18 LED 6" Inboard Module for mpower® Exterior Lightbar, Stealth Lens, Tricolor Blue/Amber/Green</t>
  </si>
  <si>
    <t>PMPLBLLT218BAWC</t>
  </si>
  <si>
    <t>18 LED 6 inch Inboard Module for Exterior Lightbar - Tricolor Blue/Amber/White - Clear Lens</t>
  </si>
  <si>
    <t>PMPLBLLT218BAWS</t>
  </si>
  <si>
    <t>18 LED 6" Inboard Module for mpower® Exterior Lightbar, Stealth Lens, Tricolor Blue/Amber/White</t>
  </si>
  <si>
    <t>PMPLBLLT218BGWC</t>
  </si>
  <si>
    <t>18 LED 6 inch Inboard Module for Exterior Lightbar - Tricolor Blue/Green/White - Clear Lens</t>
  </si>
  <si>
    <t>PMPLBLLT218BGWS</t>
  </si>
  <si>
    <t>18 LED 6" Inboard Module for mpower® Exterior Lightbar, Stealth Lens, Tricolor Blue/Green/White</t>
  </si>
  <si>
    <t>PMPLBLLT218GAWC</t>
  </si>
  <si>
    <t>18 LED 6 inch Inboard Module for Exterior Lightbar - Tricolor Green/Amber/White - Clear Lens</t>
  </si>
  <si>
    <t>PMPLBLLT218GAWS</t>
  </si>
  <si>
    <t>18 LED 6" Inboard Module for mpower® Exterior Lightbar, Stealth Lens, Tricolor Green/Amber/White</t>
  </si>
  <si>
    <t>PMPLBLLT218RAGC</t>
  </si>
  <si>
    <t>18 LED 6 inch Inboard Module for Exterior Lightbar - Tricolor Red/Amber/Green - Clear Lens</t>
  </si>
  <si>
    <t>PMPLBLLT218RAGS</t>
  </si>
  <si>
    <t>18 LED 6" Inboard Module for mpower® Exterior Lightbar, Stealth Lens, Tricolor Red/Amber/Green</t>
  </si>
  <si>
    <t>PMPLBLLT218RAWC</t>
  </si>
  <si>
    <t>18 LED 6 inch Inboard Module for Exterior Lightbar - Tricolor Red/Amber/White - Clear Lens</t>
  </si>
  <si>
    <t>PMPLBLLT218RAWS</t>
  </si>
  <si>
    <t>18 LED 6" Inboard Module for mpower® Exterior Lightbar, Stealth Lens, Tricolor Red/Amber/White</t>
  </si>
  <si>
    <t>PMPLBLLT218RBAC</t>
  </si>
  <si>
    <t>18 LED 6 inch Inboard Module for Exterior Lightbar - Tricolor Red/Blue/Amber - Clear Lens</t>
  </si>
  <si>
    <t>PMPLBLLT218RBAS</t>
  </si>
  <si>
    <t>18 LED 6" Inboard Module for mpower® Exterior Lightbar, Stealth Lens, Tricolor Red/Blue/Amber</t>
  </si>
  <si>
    <t>PMPLBLLT218RBGC</t>
  </si>
  <si>
    <t>18 LED 6 inch Inboard Module for Exterior Lightbar - Tricolor Red/Blue/Green - Clear Lens</t>
  </si>
  <si>
    <t>PMPLBLLT218RBGS</t>
  </si>
  <si>
    <t>18 LED 6" Inboard Module for mpower® Exterior Lightbar, Stealth Lens, Tricolor Red/Blue/Green</t>
  </si>
  <si>
    <t>PMPLBLLT218RBWC</t>
  </si>
  <si>
    <t>18 LED 6 inch Inboard Module for Exterior Lightbar - Tricolor Red/Blue/White - Clear Lens</t>
  </si>
  <si>
    <t>PMPLBLLT218RBWS</t>
  </si>
  <si>
    <t>18 LED 6" Inboard Module for mpower® Exterior Lightbar, Stealth Lens, Tricolor Red/Blue/White</t>
  </si>
  <si>
    <t>PMPLBLLT218RGWC</t>
  </si>
  <si>
    <t>18 LED 6 inch Inboard Module for Exterior Lightbar - Tricolor Red/Green/White - Clear Lens</t>
  </si>
  <si>
    <t>PMPLBLLT218RGWS</t>
  </si>
  <si>
    <t>18 LED 6" Inboard Module for mpower® Exterior Lightbar, Stealth Lens, Tricolor Red/Green/White</t>
  </si>
  <si>
    <t>PMPTCLD212DC</t>
  </si>
  <si>
    <t>6 inch Module for Traffic Controller, 12 LED Dual Color Red/White, Clear Lens</t>
  </si>
  <si>
    <t>PMPTCLD212DS</t>
  </si>
  <si>
    <t>12 LED Inboard Module for Traffic Controller, Stealth Lens, Dual Color Red/White</t>
  </si>
  <si>
    <t>PMPTCLD212EC</t>
  </si>
  <si>
    <t>6 inch Module for Traffic Controller, 12 LED Dual Color Blue/White, Clear Lens</t>
  </si>
  <si>
    <t>PMPTCLD212ES</t>
  </si>
  <si>
    <t>12 LED Inboard Module for Traffic Controller, Stealth Lens, Dual Color Blue/White</t>
  </si>
  <si>
    <t>PMPTCLD212FC</t>
  </si>
  <si>
    <t>6 inch Module for Traffic Controller, 12 LED Dual Color Amber/White, Clear Lens</t>
  </si>
  <si>
    <t>PMPTCLD212FS</t>
  </si>
  <si>
    <t>12 LED Inboard Module for Traffic Controller, Stealth Lens, Dual Color Amber/White</t>
  </si>
  <si>
    <t>PMPTCLD212HC</t>
  </si>
  <si>
    <t>6 inch Module for Traffic Controller, 12 LED Dual Color Green/White, Clear Lens</t>
  </si>
  <si>
    <t>PMPTCLD212HS</t>
  </si>
  <si>
    <t>12 LED Inboard Module for Traffic Controller, Stealth Lens, Dual Color Green/White</t>
  </si>
  <si>
    <t>PMPTCLD212JC</t>
  </si>
  <si>
    <t>6 inch Module for Traffic Controller, 12 LED Dual Color Red/Blue, Clear Lens</t>
  </si>
  <si>
    <t>PMPTCLD212JS</t>
  </si>
  <si>
    <t>12 LED Inboard Module for Traffic Controller, Stealth Lens, Dual Color Red/Blue</t>
  </si>
  <si>
    <t>PMPTCLD212KC</t>
  </si>
  <si>
    <t>6 inch Module for Traffic Controller, 12 LED Dual Color Red/Amber, Clear Lens</t>
  </si>
  <si>
    <t>PMPTCLD212KS</t>
  </si>
  <si>
    <t>12 LED Inboard Module for Traffic Controller, Stealth Lens, Dual Color Red/Amber</t>
  </si>
  <si>
    <t>PMPTCLD212LC</t>
  </si>
  <si>
    <t>6 inch Module for Traffic Controller, 12 LED Dual Color Red/Green, Clear Lens</t>
  </si>
  <si>
    <t>PMPTCLD212LS</t>
  </si>
  <si>
    <t>12 LED Inboard Module for Traffic Controller, Stealth Lens, Dual Color Red/Green</t>
  </si>
  <si>
    <t>PMPTCLD212MC</t>
  </si>
  <si>
    <t>6 inch Module for Traffic Controller, 12 LED Dual Color Blue/Amber, Clear Lens</t>
  </si>
  <si>
    <t>PMPTCLD212MS</t>
  </si>
  <si>
    <t>12 LED Inboard Module for Traffic Controller, Stealth Lens, Dual Color Blue/Amber</t>
  </si>
  <si>
    <t>PMPTCLD212NC</t>
  </si>
  <si>
    <t>6 inch Module for Traffic Controller, 12 LED Dual Color Blue/Green, Clear Lens</t>
  </si>
  <si>
    <t>PMPTCLD212NS</t>
  </si>
  <si>
    <t>12 LED Inboard Module for Traffic Controller, Stealth Lens, Dual Color Blue/Green</t>
  </si>
  <si>
    <t>PMPTCLD212PC</t>
  </si>
  <si>
    <t>6 inch Module for Traffic Controller, 12 LED Dual Color Green/Amber, Clear Lens</t>
  </si>
  <si>
    <t>PMPTCLD212PS</t>
  </si>
  <si>
    <t>12 LED Inboard Module for Traffic Controller, Stealth Lens, Dual Color Green/Amber</t>
  </si>
  <si>
    <t>PMPTCLS206AC</t>
  </si>
  <si>
    <t>6 inch Module for Traffic Controller, 6 LED Single Color Amber, Clear Lens</t>
  </si>
  <si>
    <t>PMPTCLS206AS</t>
  </si>
  <si>
    <t>6 LED Inboard Module for Traffic Controller, Stealth Lens, Single Color Amber</t>
  </si>
  <si>
    <t>PMPTCLS206BC</t>
  </si>
  <si>
    <t>6 inch Module for Traffic Controller, 6 LED Single Color Blue, Clear Lens</t>
  </si>
  <si>
    <t>PMPTCLS206BS</t>
  </si>
  <si>
    <t>6 LED Inboard Module for Traffic Controller, Stealth Lens, Single Color Blue</t>
  </si>
  <si>
    <t>PMPTCLS206GC</t>
  </si>
  <si>
    <t>6 inch Module for Traffic Controller, 6 LED Single Color Green, Clear Lens</t>
  </si>
  <si>
    <t>PMPTCLS206GS</t>
  </si>
  <si>
    <t>6 LED Inboard Module for Traffic Controller, Stealth Lens, Single Color Green</t>
  </si>
  <si>
    <t>PMPTCLS206RC</t>
  </si>
  <si>
    <t>6 inch Module for Traffic Controller, 6 LED Single Color Red, Clear Lens</t>
  </si>
  <si>
    <t>PMPTCLS206RS</t>
  </si>
  <si>
    <t>6 LED Inboard Module for Traffic Controller, Stealth Lens, Single Color Red</t>
  </si>
  <si>
    <t>PMPTCLS206WC</t>
  </si>
  <si>
    <t>6 inch Module for Traffic Controller, 6 LED Single Color White, Clear Lens</t>
  </si>
  <si>
    <t>PMPTCLS206WS</t>
  </si>
  <si>
    <t>6 LED Inboard Module for Traffic Controller, Stealth Lens, Single Color White</t>
  </si>
  <si>
    <t>PMPTCLT218BAGC</t>
  </si>
  <si>
    <t>6 inch Module for Traffic Controller, 18 LED Tricolor Blue/Amber/Green, Clear Lens</t>
  </si>
  <si>
    <t>PMPTCLT218BAGS</t>
  </si>
  <si>
    <t>18 LED Inboard Module for Traffic Controller, Stealth Lens, Tricolor Blue/Amber/Green</t>
  </si>
  <si>
    <t>PMPTCLT218BAWC</t>
  </si>
  <si>
    <t>6 inch Module for Traffic Controller, 18 LED Tricolor Blue/Amber/White, Clear Lens</t>
  </si>
  <si>
    <t>PMPTCLT218BAWS</t>
  </si>
  <si>
    <t>18 LED Inboard Module for Traffic Controller, Stealth Lens, Tricolor Blue/Amber/White</t>
  </si>
  <si>
    <t>PMPTCLT218BGWC</t>
  </si>
  <si>
    <t>6 inch Module for Traffic Controller, 18 LED Tricolor Blue/Green/White, Clear Lens</t>
  </si>
  <si>
    <t>PMPTCLT218BGWS</t>
  </si>
  <si>
    <t>18 LED Inboard Module for Traffic Controller, Stealth Lens, Tricolor Blue/Green/White</t>
  </si>
  <si>
    <t>PMPTCLT218GAWC</t>
  </si>
  <si>
    <t>6 inch Module for Traffic Controller, 18 LED Tricolor Green/Amber/White, Clear Lens</t>
  </si>
  <si>
    <t>PMPTCLT218GAWS</t>
  </si>
  <si>
    <t>18 LED Inboard Module for Traffic Controller, Stealth Lens, Tricolor Green/Amber/White</t>
  </si>
  <si>
    <t>PMPTCLT218RAGC</t>
  </si>
  <si>
    <t>6 inch Module for Traffic Controller, 18 LED Tricolor Red/Amber/Green, Clear Lens</t>
  </si>
  <si>
    <t>PMPTCLT218RAGS</t>
  </si>
  <si>
    <t>18 LED Inboard Module for Traffic Controller, Stealth Lens, Tricolor Red/Amber/Green</t>
  </si>
  <si>
    <t>PMPTCLT218RAWC</t>
  </si>
  <si>
    <t>6 inch Module for Traffic Controller, 18 LED Tricolor Red/Amber/White, Clear Lens</t>
  </si>
  <si>
    <t>PMPTCLT218RAWS</t>
  </si>
  <si>
    <t>18 LED Inboard Module for Traffic Controller, Stealth Lens, Tricolor Red/Amber/White</t>
  </si>
  <si>
    <t>PMPTCLT218RBAC</t>
  </si>
  <si>
    <t>6 inch Module for Traffic Controller, 18 LED Tricolor Red/Blue/Amber, Clear Lens</t>
  </si>
  <si>
    <t>PMPTCLT218RBAS</t>
  </si>
  <si>
    <t>18 LED Inboard Module for Traffic Controller, Stealth Lens, Tricolor Red/Blue/Amber</t>
  </si>
  <si>
    <t>PMPTCLT218RBGC</t>
  </si>
  <si>
    <t>6 inch Module for Traffic Controller, 18 LED Tricolor Red/Blue/Green, Clear Lens</t>
  </si>
  <si>
    <t>PMPTCLT218RBGS</t>
  </si>
  <si>
    <t>18 LED Inboard Module for Traffic Controller, Stealth Lens, Tricolor Red/Blue/Green</t>
  </si>
  <si>
    <t>PMPTCLT218RBWC</t>
  </si>
  <si>
    <t>6 inch Module for Traffic Controller, 18 LED Tricolor Red/Blue/White, Clear Lens</t>
  </si>
  <si>
    <t>PMPTCLT218RBWS</t>
  </si>
  <si>
    <t>18 LED Inboard Module for Traffic Controller, Stealth Lens, Tricolor Red/Blue/White</t>
  </si>
  <si>
    <t>PMPTCLT218RGWC</t>
  </si>
  <si>
    <t>6 inch Module for Traffic Controller, 18 LED Tricolor Red/Green/White, Clear Lens</t>
  </si>
  <si>
    <t>PMPTCLT218RGWS</t>
  </si>
  <si>
    <t>18 LED Inboard Module for Traffic Controller, Stealth Lens, Tricolor Red/Green/White</t>
  </si>
  <si>
    <t>PNFLBCLD124D-0</t>
  </si>
  <si>
    <t>24 LED Corner Module (Large) for nFORCE® Exterior Lightbar, no Alley, Dual Color Red/White</t>
  </si>
  <si>
    <t>PNFLBCLD124D-W</t>
  </si>
  <si>
    <t>24 LED Corner Module (Large) for nFORCE® Exterior Lightbar - w/ White Alley &amp; Dual Color Red/White</t>
  </si>
  <si>
    <t>PNFLBCLD124E-0</t>
  </si>
  <si>
    <t>24 LED Corner Module (Large) for nFORCE® Exterior Lightbar, no Alley, Dual Color Blue/White</t>
  </si>
  <si>
    <t>PNFLBCLD124E-W</t>
  </si>
  <si>
    <t>24 LED Corner Module (Large) for nFORCE® Exterior Lightbar - w/ White Alley &amp; Dual Color Blue/White</t>
  </si>
  <si>
    <t>PNFLBCLD124F-0</t>
  </si>
  <si>
    <t>24 LED Corner Module (Large) for nFORCE® Exterior Lightbar, no Alley, Dual Color Amber/White</t>
  </si>
  <si>
    <t>PNFLBCLD124F-W</t>
  </si>
  <si>
    <t>24 LED Corner Module (Large) for nFORCE® Exterior Lightbar - w/ White Alley &amp; Dual Color Amber/White</t>
  </si>
  <si>
    <t>PNFLBCLD124H-0</t>
  </si>
  <si>
    <t>24 LED Corner Module (Large) for nFORCE® Exterior Lightbar, no Alley, Dual Color Green/White</t>
  </si>
  <si>
    <t>PNFLBCLD124H-W</t>
  </si>
  <si>
    <t>24 LED Corner Module (Large) for nFORCE® Exterior Lightbar - w/ White Alley &amp; Dual Color Green/White</t>
  </si>
  <si>
    <t>PNFLBCLD124J-0</t>
  </si>
  <si>
    <t>24 LED Corner Module (Large) for nFORCE® Exterior Lightbar, no Alley, Dual Color Red/Blue</t>
  </si>
  <si>
    <t>PNFLBCLD124J-W</t>
  </si>
  <si>
    <t>24 LED Corner Module (Large) for nFORCE® Exterior Lightbar - w/ White Alley &amp; Dual Color Red/Blue</t>
  </si>
  <si>
    <t>PNFLBCLD124K-0</t>
  </si>
  <si>
    <t>24 LED Corner Module (Large) for nFORCE® Exterior Lightbar, no Alley, Dual Color Red/Amber</t>
  </si>
  <si>
    <t>PNFLBCLD124K-W</t>
  </si>
  <si>
    <t>24 LED Corner Module (Large) for nFORCE® Exterior Lightbar - w/ White Alley &amp; Dual Color Red/Amber</t>
  </si>
  <si>
    <t>PNFLBCLD124L-0</t>
  </si>
  <si>
    <t>24 LED Corner Module (Large) for nFORCE® Exterior Lightbar, no Alley, Dual Color Red/Green</t>
  </si>
  <si>
    <t>PNFLBCLD124L-W</t>
  </si>
  <si>
    <t>24 LED Corner Module (Large) for nFORCE® Exterior Lightbar - w/ White Alley &amp; Dual Color Red/Green</t>
  </si>
  <si>
    <t>PNFLBCLD124M-0</t>
  </si>
  <si>
    <t>24 LED Corner Module (Large) for nFORCE® Exterior Lightbar, no Alley, Dual Color Blue/Amber</t>
  </si>
  <si>
    <t>PNFLBCLD124M-W</t>
  </si>
  <si>
    <t>24 LED Corner Module (Large) for nFORCE® Exterior Lightbar - w/ White Alley &amp; Dual Color Blue/Amber</t>
  </si>
  <si>
    <t>PNFLBCLD124N-W</t>
  </si>
  <si>
    <t>24 LED Corner Module (Large) for nFORCE® Exterior Lightbar - w/ White Alley &amp; Dual Color Blue/Green</t>
  </si>
  <si>
    <t>PNFLBCLD124P-0</t>
  </si>
  <si>
    <t>24 LED Corner Module (Large) for nFORCE® Exterior Lightbar, no Alley, Dual Color Green/Amber</t>
  </si>
  <si>
    <t>PNFLBCLD124P-W</t>
  </si>
  <si>
    <t>24 LED Corner Module (Large) for nFORCE® Exterior Lightbar - w/ White Alley &amp; Dual Color Green/Amber</t>
  </si>
  <si>
    <t>PNFLBCLS112A-0</t>
  </si>
  <si>
    <t>12 LED Corner Module (Large) for nFORCE® Exterior Lightbar, no Alley, Single Color Amber</t>
  </si>
  <si>
    <t>PNFLBCLS112A-W</t>
  </si>
  <si>
    <t>12 LED Corner Module (Large) for nFORCE® Exterior Lightbar - w/ White Alley &amp; Single Color Amber</t>
  </si>
  <si>
    <t>PNFLBCLS112B-0</t>
  </si>
  <si>
    <t>12 LED Corner Module (Large) for nFORCE® Exterior Lightbar, no Alley, Single Color Blue</t>
  </si>
  <si>
    <t>PNFLBCLS112B-W</t>
  </si>
  <si>
    <t>12 LED Corner Module (Large) for nFORCE® Exterior Lightbar - w/ White Alley &amp; Single Color Blue</t>
  </si>
  <si>
    <t>PNFLBCLS112G-0</t>
  </si>
  <si>
    <t>12 LED Corner Module (Large) for nFORCE® Exterior Lightbar, no Alley, Single Color Green</t>
  </si>
  <si>
    <t>PNFLBCLS112G-W</t>
  </si>
  <si>
    <t>12 LED Corner Module (Large) for nFORCE® Exterior Lightbar - w/ White Alley &amp; Single Color Green</t>
  </si>
  <si>
    <t>PNFLBCLS112R-0</t>
  </si>
  <si>
    <t>12 LED Corner Module (Large) for nFORCE® Exterior Lightbar, no Alley, Single Color Red</t>
  </si>
  <si>
    <t>PNFLBCLS112R-W</t>
  </si>
  <si>
    <t>12 LED Corner Module (Large) for nFORCE® Exterior Lightbar - w/ White Alley &amp; Single Color Red</t>
  </si>
  <si>
    <t>PNFLBCLS112W-0</t>
  </si>
  <si>
    <t>12 LED Corner Module (Large) for nFORCE® Exterior Lightbar, no Alley, Single Color White</t>
  </si>
  <si>
    <t>PNFLBCLS112W-W</t>
  </si>
  <si>
    <t>12 LED Corner Module (Large) for nFORCE® Exterior Lightbar - w/ White Alley &amp; Single Color White</t>
  </si>
  <si>
    <t>PNFLBCLS118A-0</t>
  </si>
  <si>
    <t>18 LED Corner Module (Large) for nFORCE® Exterior Lightbar, no Alley, Single Color Amber</t>
  </si>
  <si>
    <t>PNFLBCLS118A-W</t>
  </si>
  <si>
    <t>18 LED Corner Module (Large) for nFORCE® Exterior Lightbar - w/ White Alley &amp; Single Color Amber</t>
  </si>
  <si>
    <t>PNFLBCLS118B-0</t>
  </si>
  <si>
    <t>18 LED Corner Module (Large) for nFORCE® Exterior Lightbar, no Alley, Single Color Blue</t>
  </si>
  <si>
    <t>PNFLBCLS118B-W</t>
  </si>
  <si>
    <t>18 LED Corner Module (Large) for nFORCE® Exterior Lightbar - w/ White Alley &amp; Single Color Blue</t>
  </si>
  <si>
    <t>PNFLBCLS118G-0</t>
  </si>
  <si>
    <t>18 LED Corner Module (Large) for nFORCE® Exterior Lightbar, no Alley, Single Color Green</t>
  </si>
  <si>
    <t>PNFLBCLS118G-W</t>
  </si>
  <si>
    <t>18 LED Corner Module (Large) for nFORCE® Exterior Lightbar - w/ White Alley &amp; Single Color Green</t>
  </si>
  <si>
    <t>PNFLBCLS118R-0</t>
  </si>
  <si>
    <t>18 LED Corner Module (Large) for nFORCE® Exterior Lightbar, no Alley, Single Color Red</t>
  </si>
  <si>
    <t>PNFLBCLS118R-W</t>
  </si>
  <si>
    <t>18 LED Corner Module (Large) for nFORCE® Exterior Lightbar - w/ White Alley &amp; Single Color Red</t>
  </si>
  <si>
    <t>PNFLBCLS118W-0</t>
  </si>
  <si>
    <t>18 LED Corner Module (Large) for nFORCE® Exterior Lightbar, no Alley, Single Color White</t>
  </si>
  <si>
    <t>PNFLBCLS118W-W</t>
  </si>
  <si>
    <t>18 LED Corner Module (Large) for nFORCE® Exterior Lightbar - w/ White Alley &amp; Single Color White</t>
  </si>
  <si>
    <t>PNFLBCLT130BAG-0</t>
  </si>
  <si>
    <t>30 LED Corner Module (Large) for nFORCE® Exterior Lightbar, no Alley, Tricolor Blue/Amber/Green</t>
  </si>
  <si>
    <t>PNFLBCLT130BAG-W</t>
  </si>
  <si>
    <t>30 LED Corner Module (Large) for nFORCE® Exterior Lightbar - w/ White Alley &amp; Tricolor Blue/Amber/Green</t>
  </si>
  <si>
    <t>PNFLBCLT130BGW-0</t>
  </si>
  <si>
    <t>30 LED Corner Module (Large) for nFORCE® Exterior Lightbar, no Alley, Tricolor Blue/Green/White</t>
  </si>
  <si>
    <t>PNFLBCLT130BGW-W</t>
  </si>
  <si>
    <t>30 LED Corner Module (Large) for nFORCE® Exterior Lightbar - w/ White Alley &amp; Tricolor Blue/Green/White</t>
  </si>
  <si>
    <t>PNFLBCLT130BWA-0</t>
  </si>
  <si>
    <t>30 LED Corner Module (Large) for nFORCE® Exterior Lightbar, no Alley, Tricolor Blue/White/Amber</t>
  </si>
  <si>
    <t>PNFLBCLT130BWA-W</t>
  </si>
  <si>
    <t>30 LED Corner Module (Large) for nFORCE® Exterior Lightbar - w/ White Alley &amp; Tricolor Blue/White/Amber</t>
  </si>
  <si>
    <t>PNFLBCLT130GWA-0</t>
  </si>
  <si>
    <t>30 LED Corner Module (Large) for nFORCE® Exterior Lightbar, no Alley, Tricolor Green/White/Amber</t>
  </si>
  <si>
    <t>PNFLBCLT130GWA-W</t>
  </si>
  <si>
    <t>30 LED Corner Module (Large) for nFORCE® Exterior Lightbar - w/ White Alley &amp; Tricolor Green/White/Amber</t>
  </si>
  <si>
    <t>PNFLBCLT130RAG-0</t>
  </si>
  <si>
    <t>30 LED Corner Module (Large) for nFORCE® Exterior Lightbar, no Alley, Tricolor Red/Amber/Green</t>
  </si>
  <si>
    <t>PNFLBCLT130RAG-W</t>
  </si>
  <si>
    <t>30 LED Corner Module (Large) for nFORCE® Exterior Lightbar - w/ White Alley &amp; Tricolor Red/Amber/Green</t>
  </si>
  <si>
    <t>PNFLBCLT130RBA-0</t>
  </si>
  <si>
    <t>30 LED Corner Module (Large) for nFORCE® Exterior Lightbar, no Alley, Tricolor Red/Blue/Amber</t>
  </si>
  <si>
    <t>PNFLBCLT130RBA-W</t>
  </si>
  <si>
    <t>30 LED Corner Module (Large) for nFORCE® Exterior Lightbar - w/ White Alley &amp; Tricolor Red/Blue/Amber</t>
  </si>
  <si>
    <t>PNFLBCLT130RBG-0</t>
  </si>
  <si>
    <t>30 LED Corner Module (Large) for nFORCE® Exterior Lightbar, no Alley, Tricolor Red/Blue/Green</t>
  </si>
  <si>
    <t>PNFLBCLT130RBG-W</t>
  </si>
  <si>
    <t>30 LED Corner Module (Large) for nFORCE® Exterior Lightbar - w/ White Alley &amp; Tricolor Red/Blue/Green</t>
  </si>
  <si>
    <t>PNFLBCLT130RBW-0</t>
  </si>
  <si>
    <t>30 LED Corner Module (Large) for nFORCE® Exterior Lightbar, no Alley, Tricolor Red/Blue/White</t>
  </si>
  <si>
    <t>PNFLBCLT130RBW-W</t>
  </si>
  <si>
    <t>30 LED Corner Module (Large) for nFORCE® Exterior Lightbar - w/ White Alley &amp; Tricolor Red/Blue/White</t>
  </si>
  <si>
    <t>PNFLBCLT130RGW-0</t>
  </si>
  <si>
    <t>30 LED Corner Module (Large) for nFORCE® Exterior Lightbar, no Alley, Tricolor Red/Green/White</t>
  </si>
  <si>
    <t>PNFLBCLT130RGW-W</t>
  </si>
  <si>
    <t>30 LED Corner Module (Large) for nFORCE® Exterior Lightbar - w/ White Alley &amp; Tricolor Red/Green/White</t>
  </si>
  <si>
    <t>PNFLBCLT130RWA-0</t>
  </si>
  <si>
    <t>30 LED Corner Module (Large) for nFORCE® Exterior Lightbar, no Alley, Tricolor Red/White/Amber</t>
  </si>
  <si>
    <t>PNFLBCLT130RWA-W</t>
  </si>
  <si>
    <t>30 LED Corner Module (Large) for nFORCE® Exterior Lightbar - w/ White Alley &amp; Tricolor Red/White/Amber</t>
  </si>
  <si>
    <t>PNFLBCSD124D</t>
  </si>
  <si>
    <t>24 LED Corner Module (Small) for nFORCE® Exterior Lightbar - Dual Color Red/White</t>
  </si>
  <si>
    <t>PNFLBCSD124E</t>
  </si>
  <si>
    <t>24 LED Corner Module (Small) for nFORCE® Exterior Lightbar - Dual Color Blue/White</t>
  </si>
  <si>
    <t>PNFLBCSD124F</t>
  </si>
  <si>
    <t>24 LED Corner Module (Small) for nFORCE® Exterior Lightbar - Dual Color Amber/White</t>
  </si>
  <si>
    <t>PNFLBCSD124H</t>
  </si>
  <si>
    <t>24 LED Corner Module (Small) for nFORCE® Exterior Lightbar - Dual Color Green/White</t>
  </si>
  <si>
    <t>PNFLBCSD124J</t>
  </si>
  <si>
    <t>24 LED Corner Module (Small) for nFORCE® Exterior Lightbar - Dual Color Red/Blue</t>
  </si>
  <si>
    <t>PNFLBCSD124K</t>
  </si>
  <si>
    <t>24 LED Corner Module (Small) for nFORCE® Exterior Lightbar - Dual Color Red/Amber</t>
  </si>
  <si>
    <t>PNFLBCSD124L</t>
  </si>
  <si>
    <t>24 LED Corner Module (Small) for nFORCE® Exterior Lightbar - Dual Color Red/Green</t>
  </si>
  <si>
    <t>PNFLBCSD124M</t>
  </si>
  <si>
    <t>24 LED Corner Module (Small) for nFORCE® Exterior Lightbar - Dual Color Blue/Amber</t>
  </si>
  <si>
    <t>PNFLBCSD124N</t>
  </si>
  <si>
    <t>24 LED Corner Module (Small) for nFORCE® Exterior Lightbar - Dual Color Blue/Green</t>
  </si>
  <si>
    <t>PNFLBCSD124P</t>
  </si>
  <si>
    <t>24 LED Corner Module (Small) for nFORCE® Exterior Lightbar - Dual Color Green/Amber</t>
  </si>
  <si>
    <t>PNFLBCSS112A</t>
  </si>
  <si>
    <t>12 LED Corner Module (Small) for nFORCE® Exterior Lightbar - Single Color Amber</t>
  </si>
  <si>
    <t>PNFLBCSS112B</t>
  </si>
  <si>
    <t>12 LED Corner Module (Small) for nFORCE® Exterior Lightbar - Single Color Blue</t>
  </si>
  <si>
    <t>PNFLBCSS112G</t>
  </si>
  <si>
    <t>12 LED Corner Module (Small) for nFORCE® Exterior Lightbar - Single Color Green</t>
  </si>
  <si>
    <t>PNFLBCSS112R</t>
  </si>
  <si>
    <t>12 LED Corner Module (Small) for nFORCE® Exterior Lightbar - Single Color Red</t>
  </si>
  <si>
    <t>PNFLBCSS112W</t>
  </si>
  <si>
    <t>12 LED Corner Module (Small) for nFORCE® Exterior Lightbar - Single Color White</t>
  </si>
  <si>
    <t>PNFLBCSS118A</t>
  </si>
  <si>
    <t>18 LED Corner Module (Small) for nFORCE® Exterior Lightbar -  Single Color Amber</t>
  </si>
  <si>
    <t>PNFLBCSS118B</t>
  </si>
  <si>
    <t>18 LED Corner Module (Small) for nFORCE® Exterior Lightbar - Single Color Blue</t>
  </si>
  <si>
    <t>PNFLBCSS118G</t>
  </si>
  <si>
    <t>18 LED Corner Module (Small) for nFORCE® Exterior Lightbar - Single Color Green</t>
  </si>
  <si>
    <t>PNFLBCSS118R</t>
  </si>
  <si>
    <t>18 LED Corner Module (Small) for nFORCE® Exterior Lightbar - Single Color Red</t>
  </si>
  <si>
    <t>PNFLBCSS118W</t>
  </si>
  <si>
    <t>18 LED Corner Module (Small) for nFORCE® Exterior Lightbar - Single Color White</t>
  </si>
  <si>
    <t>PNFLBCST130BAG</t>
  </si>
  <si>
    <t>30 LED Corner Module (Small) for nFORCE® Exterior Lightbar - Tricolor Blue/Amber/Green</t>
  </si>
  <si>
    <t>PNFLBCST130BGW</t>
  </si>
  <si>
    <t>30 LED Corner Module (Small) for nFORCE® Exterior Lightbar - Tricolor Blue/Green/White</t>
  </si>
  <si>
    <t>PNFLBCST130BWA</t>
  </si>
  <si>
    <t>30 LED Corner Module (Small) for nFORCE® Exterior Lightbar - Tricolor Blue/White/Amber</t>
  </si>
  <si>
    <t>PNFLBCST130GWA</t>
  </si>
  <si>
    <t>30 LED Corner Module (Small) for nFORCE® Exterior Lightbar - Tricolor Green/White/Amber</t>
  </si>
  <si>
    <t>PNFLBCST130RAG</t>
  </si>
  <si>
    <t>30 LED Corner Module (Small) for nFORCE® Exterior Lightbar - Tricolor Red/Amber/Green</t>
  </si>
  <si>
    <t>PNFLBCST130RBA</t>
  </si>
  <si>
    <t>30 LED Corner Module (Small) for nFORCE® Exterior Lightbar - Tricolor Amber/Red/Blue</t>
  </si>
  <si>
    <t>PNFLBCST130RBG</t>
  </si>
  <si>
    <t>30 LED Corner Module (Small) for nFORCE® Exterior Lightbar - Tricolor Red/Blue/Green</t>
  </si>
  <si>
    <t>PNFLBCST130RBW</t>
  </si>
  <si>
    <t>30 LED Corner Module (Small) for nFORCE® Exterior Lightbar - Tricolor White/Red/Blue</t>
  </si>
  <si>
    <t>PNFLBCST130RGW</t>
  </si>
  <si>
    <t>30 LED Corner Module (Small) for nFORCE® Exterior Lightbar - Tricolor Red/Green/White</t>
  </si>
  <si>
    <t>PNFLBCST130RWA</t>
  </si>
  <si>
    <t>30 LED Corner Module (Small) for nFORCE® Exterior Lightbar - Tricolor Amber/Red/White</t>
  </si>
  <si>
    <t>PNFLBLD112D</t>
  </si>
  <si>
    <t>12 LED Inboard Module for nFORCE® Exterior Lightbar - Dual Color Red/White</t>
  </si>
  <si>
    <t>PNFLBLD112E</t>
  </si>
  <si>
    <t>12 LED Inboard Module for nFORCE® Exterior Lightbar - Dual Color Blue/White</t>
  </si>
  <si>
    <t>PNFLBLD112F</t>
  </si>
  <si>
    <t>12 LED Inboard Module for nFORCE® Exterior Lightbar - Dual Color Amber/White</t>
  </si>
  <si>
    <t>PNFLBLD112H</t>
  </si>
  <si>
    <t>12 LED Inboard Module for nFORCE® Exterior Lightbar - Dual Color Green/White</t>
  </si>
  <si>
    <t>PNFLBLD112J</t>
  </si>
  <si>
    <t>12 LED Inboard Module for nFORCE® Exterior Lightbar - Dual Color Red/Blue</t>
  </si>
  <si>
    <t>PNFLBLD112K</t>
  </si>
  <si>
    <t>12 LED Inboard Module for nFORCE® Exterior Lightbar - Dual Color Red/Amber</t>
  </si>
  <si>
    <t>PNFLBLD112L</t>
  </si>
  <si>
    <t>12 LED Inboard Module for nFORCE® Exterior Lightbar - Dual Color Red/Green</t>
  </si>
  <si>
    <t>PNFLBLD112M</t>
  </si>
  <si>
    <t>12 LED Inboard Module for nFORCE® Exterior Lightbar - Dual Color Blue/Amber</t>
  </si>
  <si>
    <t>PNFLBLD112N</t>
  </si>
  <si>
    <t>12 LED Inboard Module for nFORCE® Exterior Lightbar - Dual Color Blue/Green</t>
  </si>
  <si>
    <t>PNFLBLD112P</t>
  </si>
  <si>
    <t>12 LED Inboard Module for nFORCE® Exterior Lightbar - Dual Color Green/Amber</t>
  </si>
  <si>
    <t>PNFLBLS106A</t>
  </si>
  <si>
    <t>6 LED Inboard Module for nFORCE® Exterior Lightbar - Single Color Amber</t>
  </si>
  <si>
    <t>PNFLBLS106B</t>
  </si>
  <si>
    <t>6 LED Inboard Module for nFORCE® Exterior Lightbar - Single Color Blue</t>
  </si>
  <si>
    <t>PNFLBLS106G</t>
  </si>
  <si>
    <t>6 LED Inboard Module for nFORCE® Exterior Lightbar - Single Color Green</t>
  </si>
  <si>
    <t>PNFLBLS106R</t>
  </si>
  <si>
    <t>6 LED Inboard Module for nFORCE® Exterior Lightbar - Single Color Red</t>
  </si>
  <si>
    <t>PNFLBLS106W</t>
  </si>
  <si>
    <t>6 LED Inboard Module for nFORCE® Exterior Lightbar - Single Color White</t>
  </si>
  <si>
    <t>PNFLBLS109A</t>
  </si>
  <si>
    <t>9 LED Inboard Module for nFORCE® Exterior Lightbar - Single Color Amber</t>
  </si>
  <si>
    <t>PNFLBLS109B</t>
  </si>
  <si>
    <t>9 LED Inboard Module for nFORCE® Exterior Lightbar - Single Color Blue</t>
  </si>
  <si>
    <t>PNFLBLS109G</t>
  </si>
  <si>
    <t>9 LED Inboard Module for nFORCE® Exterior Lightbar - Single Color Green</t>
  </si>
  <si>
    <t>PNFLBLS109R</t>
  </si>
  <si>
    <t>9 LED Inboard Module for nFORCE® Exterior Lightbar - Single Color Red</t>
  </si>
  <si>
    <t>PNFLBLS109W</t>
  </si>
  <si>
    <t>9 LED Inboard Module for nFORCE® Exterior Lightbar - Single Color White</t>
  </si>
  <si>
    <t>PNFLBLT118BAG</t>
  </si>
  <si>
    <t>18 LED Inboard Module for nFORCE® Exterior Lightbar - Tricolor Blue/Amber/Green</t>
  </si>
  <si>
    <t>PNFLBLT118BGW</t>
  </si>
  <si>
    <t>18 LED Inboard Module for nFORCE® Exterior Lightbar - Tricolor Blue/Green/White</t>
  </si>
  <si>
    <t>PNFLBLT118BWA</t>
  </si>
  <si>
    <t>18 LED Inboard Module for nFORCE® Exterior Lightbar - Tricolor Blue/White/Amber</t>
  </si>
  <si>
    <t>PNFLBLT118GWA</t>
  </si>
  <si>
    <t>18 LED Inboard Module for nFORCE® Exterior Lightbar - Tricolor Green/White/Amber</t>
  </si>
  <si>
    <t>PNFLBLT118RAG</t>
  </si>
  <si>
    <t>18 LED Inboard Module for nFORCE® Exterior Lightbar - Tricolor Red/Amber/Green</t>
  </si>
  <si>
    <t>PNFLBLT118RBA</t>
  </si>
  <si>
    <t>18 LED Inboard Module for nFORCE® Exterior Lightbar - Tricolor Red/Blue/Amber</t>
  </si>
  <si>
    <t>PNFLBLT118RBG</t>
  </si>
  <si>
    <t>18 LED Inboard Module for nFORCE® Exterior Lightbar - Tricolor Red/Blue/Green</t>
  </si>
  <si>
    <t>PNFLBLT118RBW</t>
  </si>
  <si>
    <t>18 LED Inboard Module for nFORCE® Exterior Lightbar - Tricolor Red/Blue/White</t>
  </si>
  <si>
    <t>PNFLBLT118RGW</t>
  </si>
  <si>
    <t>18 LED Inboard Module for nFORCE® Exterior Lightbar - Tricolor Red/Green/White</t>
  </si>
  <si>
    <t>PNFLBLT118RWA</t>
  </si>
  <si>
    <t>18 LED Inboard Module for nFORCE® Exterior Lightbar - Tricolor Red/White/Amber</t>
  </si>
  <si>
    <t>PNFWBLD112D</t>
  </si>
  <si>
    <t>12 LED Replacement Inboard Warning Module for nFORCE® Interior Lightbar, Dual Color Red/White</t>
  </si>
  <si>
    <t>PNFWBLD112E</t>
  </si>
  <si>
    <t>12 LED Replacement Inboard Warning Module for nFORCE® Interior Lightbar, Dual Color Blue/White</t>
  </si>
  <si>
    <t>PNFWBLD112F</t>
  </si>
  <si>
    <t>12 LED Replacement Inboard Warning Module for nFORCE® Interior Lightbar, Dual Color Amber/White</t>
  </si>
  <si>
    <t>PNFWBLD112H</t>
  </si>
  <si>
    <t>12 LED Replacement Inboard Warning Module for nFORCE® Interior Lightbar, Dual Color Green/White</t>
  </si>
  <si>
    <t>PNFWBLD112J</t>
  </si>
  <si>
    <t>12 LED Replacement Inboard Warning Module for nFORCE® Interior Lightbar, Dual Color Red/Blue</t>
  </si>
  <si>
    <t>PNFWBLD112K</t>
  </si>
  <si>
    <t>12 LED Replacement Inboard Warning Module for nFORCE® Interior Lightbar, Dual Color Red/Amber</t>
  </si>
  <si>
    <t>PNFWBLD112L</t>
  </si>
  <si>
    <t>12 LED Replacement Inboard Warning Module for nFORCE® Interior Lightbar, Dual Color Red/Green</t>
  </si>
  <si>
    <t>PNFWBLD112M</t>
  </si>
  <si>
    <t>12 LED Replacement Inboard Warning Module for nFORCE® Interior Lightbar, Dual Color Blue/Amber</t>
  </si>
  <si>
    <t>PNFWBLD112N</t>
  </si>
  <si>
    <t>12 LED Replacement Inboard Warning Module for nFORCE® Interior Lightbar, Dual Color Blue/Green</t>
  </si>
  <si>
    <t>PNFWBLD112P</t>
  </si>
  <si>
    <t>12 LED Replacement Inboard Warning Module for nFORCE® Interior Lightbar, Dual Color Green/Amber</t>
  </si>
  <si>
    <t>PNFWBLS106A</t>
  </si>
  <si>
    <t>6 LED Replacement Inboard Warning Module for nFORCE® Interior Lightbar, Single Color Amber</t>
  </si>
  <si>
    <t>PNFWBLS106B</t>
  </si>
  <si>
    <t>6 LED Replacement Inboard Warning Module for nFORCE® Interior Lightbar, Single Color Blue</t>
  </si>
  <si>
    <t>PNFWBLS106G</t>
  </si>
  <si>
    <t>6 LED Replacement Inboard Warning Module for nFORCE® Interior Lightbar, Single Color Green</t>
  </si>
  <si>
    <t>PNFWBLS106R</t>
  </si>
  <si>
    <t>6 LED Replacement Inboard Warning Module for nFORCE® Interior Lightbar, Single Color Red</t>
  </si>
  <si>
    <t>PNFWBLS106W</t>
  </si>
  <si>
    <t>6 LED Replacement Inboard Warning Module for nFORCE® Interior Lightbar, Single Color White</t>
  </si>
  <si>
    <t>PNFWBLS109A</t>
  </si>
  <si>
    <t>9 LED Replacement Inboard Warning Module for nFORCE® Interior Lightbar, Single Color Amber</t>
  </si>
  <si>
    <t>PNFWBLS109B</t>
  </si>
  <si>
    <t>9 LED Replacement Inboard Warning Module for nFORCE® Interior Lightbar, Single Color Blue</t>
  </si>
  <si>
    <t>PNFWBLS109G</t>
  </si>
  <si>
    <t>9 LED Replacement Inboard Warning Module for nFORCE® Interior Lightbar, Single Color Green</t>
  </si>
  <si>
    <t>PNFWBLS109R</t>
  </si>
  <si>
    <t>9 LED Replacement Inboard Warning Module for nFORCE® Interior Lightbar, Single Color Red</t>
  </si>
  <si>
    <t>PNFWBLS109W</t>
  </si>
  <si>
    <t>9 LED Replacement Inboard Warning Module for nFORCE® Interior Lightbar, Single Color White</t>
  </si>
  <si>
    <t>PNFWBLT118BAG</t>
  </si>
  <si>
    <t>18 LED Replacement Inboard Warning Module for nFORCE® Interior Lightbar, Tricolor Blue/Amber/Green</t>
  </si>
  <si>
    <t>PNFWBLT118BAW</t>
  </si>
  <si>
    <t>18 LED Replacement Inboard Warning Module for nFORCE® Interior Lightbar, Tricolor Blue/Amber/White</t>
  </si>
  <si>
    <t>PNFWBLT118BRA</t>
  </si>
  <si>
    <t>18 LED Replacement Inboard Warning Module for nFORCE® Interior Lightbar, Tricolor Blue/Red/Amber</t>
  </si>
  <si>
    <t>PNFWBLT118BRG</t>
  </si>
  <si>
    <t>18 LED Replacement Inboard Warning Module for nFORCE® Interior Lightbar, Tricolor Blue/Red/Green</t>
  </si>
  <si>
    <t>PNFWBLT118BRW</t>
  </si>
  <si>
    <t>18 LED Replacement Inboard Warning Module for nFORCE® Interior Lightbar, Tricolor Blue/Red/White</t>
  </si>
  <si>
    <t>PNFWBLT118GAW</t>
  </si>
  <si>
    <t>18 LED Replacement Inboard Warning Module for nFORCE® Interior Lightbar, Tricolor Green/Amber/White</t>
  </si>
  <si>
    <t>PNFWBLT118GBW</t>
  </si>
  <si>
    <t>18 LED Replacement Inboard Warning Module for nFORCE® Interior Lightbar, Tricolor Green/Blue/White</t>
  </si>
  <si>
    <t>PNFWBLT118GRW</t>
  </si>
  <si>
    <t>18 LED Replacement Inboard Warning Module for nFORCE® Interior Lightbar, Tricolor Green/Red/White</t>
  </si>
  <si>
    <t>PNFWBLT118RAG</t>
  </si>
  <si>
    <t>18 LED Replacement Inboard Warning Module for nFORCE® Interior Lightbar, Tricolor Red/Amber/Green</t>
  </si>
  <si>
    <t>PNFWBLT118RAW</t>
  </si>
  <si>
    <t>18 LED Replacement Inboard Warning Module for nFORCE® Interior Lightbar, Tricolor Red/Amber/White</t>
  </si>
  <si>
    <t>PNNLBASD206D</t>
  </si>
  <si>
    <t>6 LED Alley Light Module, for Exterior Lightbar, Dual Color Red/White LEDs, Clear Lens</t>
  </si>
  <si>
    <t>PNNLBASD206E</t>
  </si>
  <si>
    <t>6 LED Alley Light Module, for Exterior Lightbar, Dual Color Blue/White LEDs, Clear Lens</t>
  </si>
  <si>
    <t>PNNLBASD206F</t>
  </si>
  <si>
    <t>6 LED Alley Light Module, for Exterior Lightbar, Dual Color Amber/White LEDs, Clear Lens</t>
  </si>
  <si>
    <t>PNNLBASD206H</t>
  </si>
  <si>
    <t>6 LED Alley Light Module, for Exterior Lightbar, Dual Color Green/White LEDs, Clear Lens</t>
  </si>
  <si>
    <t>PNNLBASD206J</t>
  </si>
  <si>
    <t>6 LED Alley Light Module, for Exterior Lightbar, Dual Color Red/Blue LEDs, Clear Lens</t>
  </si>
  <si>
    <t>PNNLBASD206K</t>
  </si>
  <si>
    <t>6 LED Alley Light Module, for Exterior Lightbar, Dual Color Red/Amber LEDs, Clear Lens</t>
  </si>
  <si>
    <t>PNNLBASD206L</t>
  </si>
  <si>
    <t>6 LED Alley Light Module, for Exterior Lightbar, Dual Color Red/Green LEDs, Clear Lens</t>
  </si>
  <si>
    <t>PNNLBASD206M</t>
  </si>
  <si>
    <t>6 LED Alley Light Module, for Exterior Lightbar, Dual Color Blue/Amber LEDs, Clear Lens</t>
  </si>
  <si>
    <t>PNNLBASD206N</t>
  </si>
  <si>
    <t>6 LED Alley Light Module, for Exterior Lightbar, Dual Color Blue/Green LEDs, Clear Lens</t>
  </si>
  <si>
    <t>PNNLBASD206P</t>
  </si>
  <si>
    <t>6 LED Alley Light Module, for Exterior Lightbar, Dual Color Green/Amber LEDs, Clear Lens</t>
  </si>
  <si>
    <t>PNNLBASS203A</t>
  </si>
  <si>
    <t>3 LED Alley Light Module, for Exterior Lightbar, Single Color Amber LEDs, Clear Lens</t>
  </si>
  <si>
    <t>PNNLBASS203B</t>
  </si>
  <si>
    <t>3 LED Alley Light Module, for Exterior Lightbar, Single Color Blue LEDs, Clear Lens</t>
  </si>
  <si>
    <t>PNNLBASS203G</t>
  </si>
  <si>
    <t>3 LED Alley Light Module, for Exterior Lightbar, Single Color Green LEDs, Clear Lens</t>
  </si>
  <si>
    <t>PNNLBASS203R</t>
  </si>
  <si>
    <t>3 LED Alley Light Module, for Exterior Lightbar, Single Color Red LEDs, Clear Lens</t>
  </si>
  <si>
    <t>PNNLBASS203W</t>
  </si>
  <si>
    <t>3 LED Alley Light Module, for Exterior Lightbar, Single Color White LEDs, Clear Lens</t>
  </si>
  <si>
    <t>PNNLBAST209BAG</t>
  </si>
  <si>
    <t>9 LED Alley Light Module, for Exterior Lightbar, Tricolor Color Blue/Amber/Green LEDs, Clear Lens</t>
  </si>
  <si>
    <t>PNNLBAST209BAW</t>
  </si>
  <si>
    <t>9 LED Alley Light Module, for Exterior Lightbar, Tricolor Color Blue/Amber/White LEDs, Clear Lens</t>
  </si>
  <si>
    <t>PNNLBAST209BGW</t>
  </si>
  <si>
    <t>9 LED Alley Light Module, for Exterior Lightbar, Tricolor Color Blue/Green/White LEDs, Clear Lens</t>
  </si>
  <si>
    <t>PNNLBAST209GAW</t>
  </si>
  <si>
    <t>9 LED Alley Light Module, for Exterior Lightbar, Tricolor Color Green/Amber/White LEDs, Clear Lens</t>
  </si>
  <si>
    <t>PNNLBAST209RAG</t>
  </si>
  <si>
    <t>9 LED Alley Light Module, for Exterior Lightbar, Tricolor Color Red/Amber/Green LEDs, Clear Lens</t>
  </si>
  <si>
    <t>PNNLBAST209RAW</t>
  </si>
  <si>
    <t>9 LED Alley Light Module, for Exterior Lightbar, Tricolor Color Red/Amber/White LEDs, Clear Lens</t>
  </si>
  <si>
    <t>PNNLBAST209RBA</t>
  </si>
  <si>
    <t>9 LED Alley Light Module, for Exterior Lightbar, Tricolor Color Red/Blue/Amber LEDs, Clear Lens</t>
  </si>
  <si>
    <t>PNNLBAST209RBG</t>
  </si>
  <si>
    <t>9 LED Alley Light Module, for Exterior Lightbar, Tricolor Color Red/Blue/Green LEDs, Clear Lens</t>
  </si>
  <si>
    <t>PNNLBAST209RBW</t>
  </si>
  <si>
    <t>9 LED Alley Light Module, for Exterior Lightbar, Tricolor Color Red/Blue/White LEDs, Clear Lens</t>
  </si>
  <si>
    <t>PNNLBAST209RGW</t>
  </si>
  <si>
    <t>9 LED Alley Light Module, for Exterior Lightbar, Tricolor Color Red/Green/White LEDs, Clear Lens</t>
  </si>
  <si>
    <t>PNNLBCSD224D</t>
  </si>
  <si>
    <t>24 LED Corner Module, for Exterior Lightbar, Dual Color Red/White LEDs, Clear Lens</t>
  </si>
  <si>
    <t>PNNLBCSD224E</t>
  </si>
  <si>
    <t>24 LED Corner Module, for Exterior Lightbar, Dual Color Blue/White LEDs, Clear Lens</t>
  </si>
  <si>
    <t>PNNLBCSD224F</t>
  </si>
  <si>
    <t>24 LED Corner Module, for Exterior Lightbar, Dual Color Amber/White LEDs, Clear Lens</t>
  </si>
  <si>
    <t>PNNLBCSD224H</t>
  </si>
  <si>
    <t>24 LED Corner Module, for Exterior Lightbar, Dual Color Green/White LEDs, Clear Lens</t>
  </si>
  <si>
    <t>PNNLBCSD224J</t>
  </si>
  <si>
    <t>24 LED Corner Module, for Exterior Lightbar, Dual Color Red/Blue LEDs, Clear Lens</t>
  </si>
  <si>
    <t>PNNLBCSD224K</t>
  </si>
  <si>
    <t>24 LED Corner Module, for Exterior Lightbar, Dual Color Red/Amber LEDs, Clear Lens</t>
  </si>
  <si>
    <t>PNNLBCSD224L</t>
  </si>
  <si>
    <t>24 LED Corner Module, for Exterior Lightbar, Dual Color Red/Green LEDs, Clear Lens</t>
  </si>
  <si>
    <t>PNNLBCSD224M</t>
  </si>
  <si>
    <t>24 LED Corner Module, for Exterior Lightbar, Dual Color Blue/Amber LEDs, Clear Lens</t>
  </si>
  <si>
    <t>PNNLBCSD224N</t>
  </si>
  <si>
    <t>24 LED Corner Module, for Exterior Lightbar, Dual Color Blue/Green LEDs, Clear Lens</t>
  </si>
  <si>
    <t>PNNLBCSD224P</t>
  </si>
  <si>
    <t>24 LED Corner Module, for Exterior Lightbar, Dual Color Green/Amber LEDs, Clear Lens</t>
  </si>
  <si>
    <t>PNNLBCSS212A</t>
  </si>
  <si>
    <t>12 LED Corner Module, for Exterior Lightbar, Single Color Amber LEDs, Clear Lens</t>
  </si>
  <si>
    <t>PNNLBCSS212B</t>
  </si>
  <si>
    <t>12 LED Corner Module, for Exterior Lightbar, Single Color Blue LEDs, Clear Lens</t>
  </si>
  <si>
    <t>PNNLBCSS212G</t>
  </si>
  <si>
    <t>12 LED Corner Module, for Exterior Lightbar, Single Color Green LEDs, Clear Lens</t>
  </si>
  <si>
    <t>PNNLBCSS212R</t>
  </si>
  <si>
    <t>12 LED Corner Module, for Exterior Lightbar, Single Color Red LEDs, Clear Lens</t>
  </si>
  <si>
    <t>PNNLBCSS212W</t>
  </si>
  <si>
    <t>12 LED Corner Module, for Exterior Lightbar, Single Color White LEDs, Clear Lens</t>
  </si>
  <si>
    <t>PNNLBCST236BAG</t>
  </si>
  <si>
    <t>36 LED Corner Module, for Exterior Lightbar, Tricolor Color Blue/Amber/Green LEDs, Clear Lens</t>
  </si>
  <si>
    <t>PNNLBCST236BAW</t>
  </si>
  <si>
    <t>36 LED Corner Module, for Exterior Lightbar, Tricolor Color Blue/Amber/White LEDs, Clear Lens</t>
  </si>
  <si>
    <t>PNNLBCST236BGW</t>
  </si>
  <si>
    <t>36 LED Corner Module, for Exterior Lightbar, Tricolor Color Blue/Green/White LEDs, Clear Lens</t>
  </si>
  <si>
    <t>PNNLBCST236GAW</t>
  </si>
  <si>
    <t>36 LED Corner Module, for Exterior Lightbar, Tricolor Color Green/Amber/White LEDs, Clear Lens</t>
  </si>
  <si>
    <t>PNNLBCST236RAG</t>
  </si>
  <si>
    <t>36 LED Corner Module, for Exterior Lightbar, Tricolor Color Red/Amber/Green LEDs, Clear Lens</t>
  </si>
  <si>
    <t>PNNLBCST236RAW</t>
  </si>
  <si>
    <t>36 LED Corner Module, for Exterior Lightbar, Tricolor Color Red/Amber/White LEDs, Clear Lens</t>
  </si>
  <si>
    <t>PNNLBCST236RBA</t>
  </si>
  <si>
    <t>36 LED Corner Module, for Exterior Lightbar, Tricolor Color Red/Blue/Amber LEDs, Clear Lens</t>
  </si>
  <si>
    <t>PNNLBCST236RBG</t>
  </si>
  <si>
    <t>36 LED Corner Module, for Exterior Lightbar, Tricolor Color Red/Blue/Green LEDs, Clear Lens</t>
  </si>
  <si>
    <t>PNNLBCST236RBW</t>
  </si>
  <si>
    <t>36 LED Corner Module, for Exterior Lightbar, Tricolor Color Red/Blue/White LEDs, Clear Lens</t>
  </si>
  <si>
    <t>PNNLBCST236RGW</t>
  </si>
  <si>
    <t>36 LED Corner Module, for Exterior Lightbar, Tricolor Color Red/Green/White LEDs, Clear Lens</t>
  </si>
  <si>
    <t>PNNLBLHS206W</t>
  </si>
  <si>
    <t>6 LED Inboard Take Down/Work Light Module for Exterior Lightbar, Single Color White LEDs</t>
  </si>
  <si>
    <t>PNNLBLSD212D</t>
  </si>
  <si>
    <t>12 LED Inboard Module, for Exterior Lightbar, Dual Color Red/White LEDs, Clear Lens</t>
  </si>
  <si>
    <t>PNNLBLSD212E</t>
  </si>
  <si>
    <t>12 LED Inboard Module, for Exterior Lightbar, Dual Color Blue/White LEDs, Clear Lens</t>
  </si>
  <si>
    <t>PNNLBLSD212F</t>
  </si>
  <si>
    <t>12 LED Inboard Module, for Exterior Lightbar, Dual Color Amber/White LEDs, Clear Lens</t>
  </si>
  <si>
    <t>PNNLBLSD212H</t>
  </si>
  <si>
    <t>12 LED Inboard Module, for Exterior Lightbar, Dual Color Green/White LEDs, Clear Lens</t>
  </si>
  <si>
    <t>PNNLBLSD212J</t>
  </si>
  <si>
    <t>12 LED Inboard Module, for Exterior Lightbar, Dual Color Red/Blue LEDs, Clear Lens</t>
  </si>
  <si>
    <t>PNNLBLSD212K</t>
  </si>
  <si>
    <t>12 LED Inboard Module, for Exterior Lightbar, Dual Color Red/Amber LEDs, Clear Lens</t>
  </si>
  <si>
    <t>PNNLBLSD212L</t>
  </si>
  <si>
    <t>12 LED Inboard Module, for Exterior Lightbar, Dual Color Red/Green LEDs, Clear Lens</t>
  </si>
  <si>
    <t>PNNLBLSD212M</t>
  </si>
  <si>
    <t>12 LED Inboard Module, for Exterior Lightbar, Dual Color Blue/Amber LEDs, Clear Lens</t>
  </si>
  <si>
    <t>PNNLBLSD212N</t>
  </si>
  <si>
    <t>12 LED Inboard Module, for Exterior Lightbar, Dual Color Blue/Green LEDs, Clear Lens</t>
  </si>
  <si>
    <t>PNNLBLSD212P</t>
  </si>
  <si>
    <t>12 LED Inboard Module, for Exterior Lightbar, Dual Color Green/Amber LEDs, Clear Lens</t>
  </si>
  <si>
    <t>PNNLBLSS206A</t>
  </si>
  <si>
    <t>6 LED Inboard Module, for Exterior Lightbar, Single Color Amber LEDs, Clear Lens</t>
  </si>
  <si>
    <t>PNNLBLSS206B</t>
  </si>
  <si>
    <t>6 LED Inboard Module, for Exterior Lightbar, Single Color Blue LEDs, Clear Lens</t>
  </si>
  <si>
    <t>PNNLBLSS206G</t>
  </si>
  <si>
    <t>6 LED Inboard Module, for Exterior Lightbar, Single Color Green LEDs, Clear Lens</t>
  </si>
  <si>
    <t>PNNLBLSS206R</t>
  </si>
  <si>
    <t>6 LED Inboard Module, for Exterior Lightbar, Single Color Red LEDs, Clear Lens</t>
  </si>
  <si>
    <t>PNNLBLSS206W</t>
  </si>
  <si>
    <t>6 LED Inboard Module, for Exterior Lightbar, Single Color White LEDs, Clear Lens</t>
  </si>
  <si>
    <t>PNNLBLST218BAG</t>
  </si>
  <si>
    <t>18 LED Inboard Module, for Exterior Lightbar, Dual Color Blue/Amber/Green LEDs, Clear Lens</t>
  </si>
  <si>
    <t>PNNLBLST218BAW</t>
  </si>
  <si>
    <t>18 LED Inboard Module, for Exterior Lightbar, Tricolor Color Blue/Amber/White LEDs, Clear Lens</t>
  </si>
  <si>
    <t>PNNLBLST218BGW</t>
  </si>
  <si>
    <t>18 LED Inboard Module, for Exterior Lightbar, Tricolor Color Blue/Green/White LEDs, Clear Lens</t>
  </si>
  <si>
    <t>PNNLBLST218GAW</t>
  </si>
  <si>
    <t>18 LED Inboard Module, for Exterior Lightbar, Tricolor Color Green/Amber/White LEDs, Clear Lens</t>
  </si>
  <si>
    <t>PNNLBLST218RAG</t>
  </si>
  <si>
    <t>18 LED Inboard Module, for Exterior Lightbar, Tricolor Color Red/Amber/Green LEDs, Clear Lens</t>
  </si>
  <si>
    <t>PNNLBLST218RAW</t>
  </si>
  <si>
    <t>18 LED Inboard Module, for Exterior Lightbar, Tricolor Color Red/Amber/White LEDs, Clear Lens</t>
  </si>
  <si>
    <t>PNNLBLST218RBA</t>
  </si>
  <si>
    <t>18 LED Inboard Module, for Exterior Lightbar, Tricolor Color Red/Blue/Amber LEDs, Clear Lens</t>
  </si>
  <si>
    <t>PNNLBLST218RBG</t>
  </si>
  <si>
    <t>18 LED Inboard Module, for Exterior Lightbar, Tricolor Color Red/Blue/Green LEDs, Clear Lens</t>
  </si>
  <si>
    <t>PNNLBLST218RBW</t>
  </si>
  <si>
    <t>18 LED Inboard Module, for Exterior Lightbar, Tricolor Color Red/Blue/White LEDs, Clear Lens</t>
  </si>
  <si>
    <t>PNNLBLST218RGW</t>
  </si>
  <si>
    <t>18 LED Inboard Module, for Exterior Lightbar, Tricolor Color Red/Green/White LEDs, Clear Lens</t>
  </si>
  <si>
    <t>PNNLBLSX0000</t>
  </si>
  <si>
    <t>Blank Inboard Module, for Exterior Lightbar</t>
  </si>
  <si>
    <t>PNRBCLUP6A</t>
  </si>
  <si>
    <t>Replacement Upward Light Module for nROADS® Beacons - 6 LED Solid Color/Amber LEDs</t>
  </si>
  <si>
    <t>PNRBCLUP6B</t>
  </si>
  <si>
    <t>Replacement Upward Light Module for nROADS® Beacons - 6 LED Solid Color/Blue LEDs</t>
  </si>
  <si>
    <t>PNRBCLUP6G</t>
  </si>
  <si>
    <t>Replacement Upward Light Module for nROADS® Beacons - 6 LED Solid Color/Green LEDs</t>
  </si>
  <si>
    <t>PNRBCLUP6R</t>
  </si>
  <si>
    <t>Replacement Upward Light Module for nROADS® Beacons - 6 LED Solid Color/Red LEDs</t>
  </si>
  <si>
    <t>PNRBCLUP6W</t>
  </si>
  <si>
    <t>Replacement Upward Light Module for nROADS® Beacons - 6 LED Solid Color/White LEDs</t>
  </si>
  <si>
    <t>PNRLBLCS209A</t>
  </si>
  <si>
    <t>9 LED Replacement Inboard Warning Module for nROADS® Mini or Mid-Size Lightbars, 9-32v, CA Title 13 - Single Color Amber LEDs</t>
  </si>
  <si>
    <t>PNRLBLCS212A</t>
  </si>
  <si>
    <t>12 LED Replacement Inboard Warning Module for nROADS® Mini or Mid-Size Lightbars, 9-32v, CA Title 13 - Single Color Amber LEDs</t>
  </si>
  <si>
    <t>PNRLBLSD206F</t>
  </si>
  <si>
    <t>6 LED Replacement Inboard Warning Module for nROADS® Mini or Mid-Size Lightbars, 9-32v, SAE J845 Class 1 - Dual Color Amber/White LEDs</t>
  </si>
  <si>
    <t>PNRLBLSD212D</t>
  </si>
  <si>
    <t>12 LED Replacement Inboard Warning Module for nROADS® Mini or Mid-Size Lightbars, 9-32v, SAE J845 Class 1 - Dual Color Red/White LEDs</t>
  </si>
  <si>
    <t>PNRLBLSD212E</t>
  </si>
  <si>
    <t>12 LED Replacement Inboard Warning Module for nROADS® Mini or Mid-Size Lightbars, 9-32v, SAE J845 Class 1 - Dual Color Blue/White LEDs</t>
  </si>
  <si>
    <t>PNRLBLSD212F</t>
  </si>
  <si>
    <t>12 LED Replacement Inboard Warning Module for nROADS® Mini or Mid-Size Lightbars, 9-32v, SAE J845 Class 1 - Dual Color Amber/White LEDs</t>
  </si>
  <si>
    <t>PNRLBLSD212H</t>
  </si>
  <si>
    <t>12 LED Replacement Inboard Warning Module for nROADS® Mini or Mid-Size Lightbars, 9-32v, SAE J845 Class 1 - Dual Color Green/White LEDs</t>
  </si>
  <si>
    <t>PNRLBLSD212J</t>
  </si>
  <si>
    <t>12 LED Replacement Inboard Warning Module for nROADS® Mini or Mid-Size Lightbars, 9-32v, SAE J845 Class 1 - Dual Color Red/Blue LEDs</t>
  </si>
  <si>
    <t>PNRLBLSD212K</t>
  </si>
  <si>
    <t>12 LED Replacement Inboard Warning Module for nROADS® Mini or Mid-Size Lightbars, 9-32v, SAE J845 Class 1 - Dual Color Red/Amber LEDs</t>
  </si>
  <si>
    <t>PNRLBLSD212L</t>
  </si>
  <si>
    <t>12 LED Replacement Inboard Warning Module for nROADS® Mini or Mid-Size Lightbars, 9-32v, SAE J845 Class 1 - Dual Color Red/Green LEDs</t>
  </si>
  <si>
    <t>PNRLBLSD212M</t>
  </si>
  <si>
    <t>12 LED Replacement Inboard Warning Module for nROADS® Mini or Mid-Size Lightbars, 9-32v, SAE J845 Class 1 - Dual Color Amber/Blue LEDs</t>
  </si>
  <si>
    <t>PNRLBLSD212N</t>
  </si>
  <si>
    <t>12 LED Replacement Inboard Warning Module for nROADS® Mini or Mid-Size Lightbars, 9-32v, SAE J845 Class 1 - Dual Color Blue/Green LEDs</t>
  </si>
  <si>
    <t>PNRLBLSD212P</t>
  </si>
  <si>
    <t>12 LED Replacement Inboard Warning Module for nROADS® Mini or Mid-Size Lightbars, 9-32v, SAE J845 Class 1 - Dual Color Green/Amber LEDs</t>
  </si>
  <si>
    <t>PNRLBLSS206A</t>
  </si>
  <si>
    <t>6 LED Replacement Inboard Warning Module for nROADS® Mini or Mid-Size Lightbars, 9-32v, SAE J845 Class 1 - Single Color Amber LEDs</t>
  </si>
  <si>
    <t>PNRLBLSS206B</t>
  </si>
  <si>
    <t>6 LED Replacement Inboard Warning Module for nROADS® Mini or Mid-Size Lightbars, 9-32v, SAE J845 Class 1 - Single Color Blue LEDs</t>
  </si>
  <si>
    <t>PNRLBLSS206G</t>
  </si>
  <si>
    <t>6 LED Replacement Inboard Warning Module for nROADS® Mini or Mid-Size Lightbars, 9-32v, SAE J845 Class 1 - Single Color Green LEDs</t>
  </si>
  <si>
    <t>PNRLBLSS206R</t>
  </si>
  <si>
    <t>6 LED Replacement Inboard Warning Module for nROADS® Mini or Mid-Size Lightbars, 9-32v, SAE J845 Class 1 - Single Color Red LEDs</t>
  </si>
  <si>
    <t>PNRLBLSS206W</t>
  </si>
  <si>
    <t>6 LED Replacement Inboard Warning Module for nROADS® Mini or Mid-Size Lightbars, 9-32v, SAE J845 Class 1 - Single Color White LEDs</t>
  </si>
  <si>
    <t>PNRLBLSS209A</t>
  </si>
  <si>
    <t>9 LED Replacement Inboard Warning Module for nROADS® Mini or Mid-Size Lightbars, 9-32v, SAE J845 Class 1 - Single Color Amber LEDs</t>
  </si>
  <si>
    <t>PNRLBLSS212A</t>
  </si>
  <si>
    <t>12 LED Replacement Inboard Warning Module for nROADS® Mini or Mid-Size Lightbars, 9-32v, SAE J845 Class 1 - Single Color Amber LEDs</t>
  </si>
  <si>
    <t>PNRLBLSS212B</t>
  </si>
  <si>
    <t>12 LED Replacement Inboard Warning Module for nROADS® Mini or Mid-Size Lightbars, 9-32v, SAE J845 Class 1 - Single Color Blue LEDs</t>
  </si>
  <si>
    <t>PNRLBLSS212G</t>
  </si>
  <si>
    <t>12 LED Replacement Inboard Warning Module for nROADS® Mini or Mid-Size Lightbars, 9-32v, SAE J845 Class 1 - Single Color Green LEDs</t>
  </si>
  <si>
    <t>PNRLBLSS212R</t>
  </si>
  <si>
    <t>12 LED Replacement Inboard Warning Module for nROADS® Mini or Mid-Size Lightbars, 9-32v, SAE J845 Class 1 - Single Color Red LEDs</t>
  </si>
  <si>
    <t>PNRLBLSS212W</t>
  </si>
  <si>
    <t>12 LED Replacement Inboard Warning Module for nROADS® Mini or Mid-Size Lightbars, 9-32v, SAE J845 Class 1 - Single Color White LEDs</t>
  </si>
  <si>
    <t>PNRLBLST218BAG</t>
  </si>
  <si>
    <t>18 LED Replacement Inboard Warning Module for nROADS® Mini or Mid-Size Lightbars, 9-32v, SAE J845 Class 1 - Tricolor Blue/Amber/Green LEDs</t>
  </si>
  <si>
    <t>PNRLBLST218BAW</t>
  </si>
  <si>
    <t>18 LED Replacement Inboard Warning Module for nROADS® Mini or Mid-Size Lightbars, 9-32v, SAE J845 Class 1 - Tricolor Blue/Amber/White LEDs</t>
  </si>
  <si>
    <t>PNRLBLST218BGW</t>
  </si>
  <si>
    <t>18 LED Replacement Inboard Warning Module for nROADS® Mini or Mid-Size Lightbars, 9-32v, SAE J845 Class 1 - Tricolor Blue/Green/White LEDs</t>
  </si>
  <si>
    <t>PNRLBLST218GAW</t>
  </si>
  <si>
    <t>18 LED Replacement Inboard Warning Module for nROADS® Mini or Mid-Size Lightbars, 9-32v, SAE J845 Class 1 - Tricolor Green/Amber/White LEDs</t>
  </si>
  <si>
    <t>PNRLBLST218RAG</t>
  </si>
  <si>
    <t>18 LED Replacement Inboard Warning Module for nROADS® Mini or Mid-Size Lightbars, 9-32v, SAE J845 Class 1 - Tricolor Red/Amber/Green LEDs</t>
  </si>
  <si>
    <t>PNRLBLST218RAW</t>
  </si>
  <si>
    <t>18 LED Replacement Inboard Warning Module for nROADS® Mini or Mid-Size Lightbars, 9-32v, SAE J845 Class 1 - Tricolor Red/Amber/White LEDs</t>
  </si>
  <si>
    <t>PNRLBLST218RBA</t>
  </si>
  <si>
    <t>18 LED Replacement Inboard Warning Module for nROADS® Mini or Mid-Size Lightbars, 9-32v, SAE J845 Class 1 - Tricolor Red/Blue/Amber LEDs</t>
  </si>
  <si>
    <t>PNRLBLST218RBG</t>
  </si>
  <si>
    <t>18 LED Replacement Inboard Warning Module for nROADS® Mini or Mid-Size Lightbars, 9-32v, SAE J845 Class 1 - Tricolor Red/Blue/Green LEDs</t>
  </si>
  <si>
    <t>PNRLBLST218RBW</t>
  </si>
  <si>
    <t>18 LED Replacement Inboard Warning Module for nROADS® Mini or Mid-Size Lightbars, 9-32v, SAE J845 Class 1 - Tricolor Red/Blue/White LEDs</t>
  </si>
  <si>
    <t>PNRLBLST218RGW</t>
  </si>
  <si>
    <t>18 LED Replacement Inboard Warning Module for nROADS® Mini or Mid-Size Lightbars, 9-32v, SAE J845 Class 1 - Tricolor Red/Green/White LEDs</t>
  </si>
  <si>
    <t>PNULBLSD212D</t>
  </si>
  <si>
    <t>12 LED Module - Dual Color Red/White</t>
  </si>
  <si>
    <t>PNULBLSD212E</t>
  </si>
  <si>
    <t>12 LED Module - Dual Color Blue/White</t>
  </si>
  <si>
    <t>PNULBLSD212F</t>
  </si>
  <si>
    <t>12 LED Module - Dual Color Amber/White</t>
  </si>
  <si>
    <t>PNULBLSD212H</t>
  </si>
  <si>
    <t>12 LED Module - Dual Color Green/White</t>
  </si>
  <si>
    <t>PNULBLSD212J</t>
  </si>
  <si>
    <t>12 LED Module - Dual Color Red/Blue</t>
  </si>
  <si>
    <t>PNULBLSD212K</t>
  </si>
  <si>
    <t>12 LED Module - Dual Color Red/Amber</t>
  </si>
  <si>
    <t>PNULBLSD212L</t>
  </si>
  <si>
    <t>12 LED Module - Dual Color Red/Green</t>
  </si>
  <si>
    <t>PNULBLSD212M</t>
  </si>
  <si>
    <t>12 LED Module - Dual Color Blue/Amber</t>
  </si>
  <si>
    <t>PNULBLSD212N</t>
  </si>
  <si>
    <t>12 LED Module - Dual Color Blue/Green</t>
  </si>
  <si>
    <t>PNULBLSD212P</t>
  </si>
  <si>
    <t>12 LED Module - Dual Color Green/Amber</t>
  </si>
  <si>
    <t>PNULBLSS206A</t>
  </si>
  <si>
    <t>6 LED Module - Single Color Amber</t>
  </si>
  <si>
    <t>PNULBLSS206B</t>
  </si>
  <si>
    <t>6 LED Module - Single Color Blue</t>
  </si>
  <si>
    <t>PNULBLSS206G</t>
  </si>
  <si>
    <t>6 LED Module - Single Color Green</t>
  </si>
  <si>
    <t>PNULBLSS206R</t>
  </si>
  <si>
    <t>6 LED Module - Single Color Red</t>
  </si>
  <si>
    <t>PNULBLSS206W</t>
  </si>
  <si>
    <t>6 LED Module - Single Color White</t>
  </si>
  <si>
    <t>PRMLBCLD118AW-0</t>
  </si>
  <si>
    <t>18 LED Replacement Corner Module no Alley (driver rear or passenger front) for Exterior Lightbar, 10-16v, Dual Color Amber &amp; White LEDs</t>
  </si>
  <si>
    <t>PRMLBCLD118AW-W</t>
  </si>
  <si>
    <t>18 LED Replacement Corner Module w/ White Alley (driver rear or passenger front) for Exterior Lightbar, 10-16v - Dual Color Amber &amp; White LEDs</t>
  </si>
  <si>
    <t>PRMLBCLD118BA-0</t>
  </si>
  <si>
    <t>18 LED Replacement Corner Module no Alley (driver rear or passenger front) for Exterior Lightbar, 10-16v, Dual Color Blue &amp; Amber LEDs</t>
  </si>
  <si>
    <t>PRMLBCLD118BA-W</t>
  </si>
  <si>
    <t>18 LED Replacement Corner Module w/ White Alley (driver rear or passenger front) for Exterior Lightbar, 10-16v - Dual Color Blue &amp; Amber LEDs</t>
  </si>
  <si>
    <t>PRMLBCLD118BG-0</t>
  </si>
  <si>
    <t>18 LED Replacement Corner Module no Alley (driver rear or passenger front) for Exterior Lightbar, 10-16v, Dual Color Blue &amp; Green LEDs</t>
  </si>
  <si>
    <t>PRMLBCLD118BG-W</t>
  </si>
  <si>
    <t>18 LED Replacement Corner Module w/ White Alley (driver rear or passenger front) for Exterior Lightbar, 10-16v - Dual Color Blue &amp; Green LEDs</t>
  </si>
  <si>
    <t>PRMLBCLD118BW-0</t>
  </si>
  <si>
    <t>18 LED Replacement Corner Module no Alley (driver rear or passenger front) for Exterior Lightbar, 10-16v, Dual Color Blue &amp; White LEDs</t>
  </si>
  <si>
    <t>PRMLBCLD118BW-W</t>
  </si>
  <si>
    <t>18 LED Replacement Corner Module w/ White Alley (driver rear or passenger front) for Exterior Lightbar, 10-16v - Dual Color Blue &amp; White LEDs</t>
  </si>
  <si>
    <t>PRMLBCLD118GA-0</t>
  </si>
  <si>
    <t>18 LED Replacement Corner Module no Alley (driver rear or passenger front) for Exterior Lightbar, 10-16v, Dual Color Green &amp; Amber LEDs</t>
  </si>
  <si>
    <t>PRMLBCLD118GA-W</t>
  </si>
  <si>
    <t>18 LED Replacement Corner Module w/ White Alley (driver rear or passenger front) for Exterior Lightbar, 10-16v - Dual Color Green &amp; Amber LEDs</t>
  </si>
  <si>
    <t>PRMLBCLD118GW-0</t>
  </si>
  <si>
    <t>18 LED Replacement Corner Module no Alley (driver rear or passenger front) for Exterior Lightbar, 10-16v, Dual Color Green &amp; White LEDs</t>
  </si>
  <si>
    <t>PRMLBCLD118GW-W</t>
  </si>
  <si>
    <t>18 LED Replacement Corner Module w/ White Alley (driver rear or passenger front) for Exterior Lightbar, 10-16v - Dual Color Green &amp; White LEDs</t>
  </si>
  <si>
    <t>PRMLBCLD118RA-W</t>
  </si>
  <si>
    <t>18 LED Replacement Corner Module w/ White Alley (driver rear or passenger front) for Exterior Lightbar, 10-16v - Dual Color Red &amp; Amber LEDs</t>
  </si>
  <si>
    <t>PRMLBCLD118RB-W</t>
  </si>
  <si>
    <t>18 LED Replacement Corner Module w/ White Alley (driver rear or passenger front) for Exterior Lightbar, 10-16v - Dual Color Red &amp; Blue LEDs</t>
  </si>
  <si>
    <t>PRMLBCLD118RG-W</t>
  </si>
  <si>
    <t>18 LED Replacement Corner Module w/ White Alley (driver rear or passenger front) for Exterior Lightbar, 10-16v - Dual Color Red &amp; Green LEDs</t>
  </si>
  <si>
    <t>PRMLBCLD118RW-W</t>
  </si>
  <si>
    <t>18 LED Replacement Corner Module w/ White Alley (driver rear or passenger front) for Exterior Lightbar, 10-16v - Dual Color Red &amp; White LEDs</t>
  </si>
  <si>
    <t>PRMLBCLD118WW-W</t>
  </si>
  <si>
    <t>18 LED Replacement Corner Module w/ White Alley (driver rear or passenger front) for Exterior Lightbar, 10-16v - Dual Color White &amp; White LEDs</t>
  </si>
  <si>
    <t>PRMLBCLD124AW-W</t>
  </si>
  <si>
    <t>24 LED Replacement Corner Module w/ White Alley (driver rear or passenger front) for Exterior Lightbar, 10-16v - Dual Color Amber &amp; White LEDs</t>
  </si>
  <si>
    <t>PRMLBCLD124BA-W</t>
  </si>
  <si>
    <t>24 LED Replacement Corner Module w/ White Alley (driver rear or passenger front) for Exterior Lightbar, 10-16v - Dual Color Blue &amp; Amber LEDs</t>
  </si>
  <si>
    <t>PRMLBCLD124BG-W</t>
  </si>
  <si>
    <t>24 LED Replacement Corner Module w/ White Alley (driver rear or passenger front) for Exterior Lightbar, 10-16v - Dual Color Blue &amp; Green LEDs</t>
  </si>
  <si>
    <t>PRMLBCLD124BW-W</t>
  </si>
  <si>
    <t>24 LED Replacement Corner Module w/ White Alley (driver rear or passenger front) for Exterior Lightbar, 10-16v - Dual Color Blue &amp; White LEDs</t>
  </si>
  <si>
    <t>PRMLBCLD124GA-W</t>
  </si>
  <si>
    <t>24 LED Replacement Corner Module w/ White Alley (driver rear or passenger front) for Exterior Lightbar, 10-16v - Dual Color Green &amp; Amber LEDs</t>
  </si>
  <si>
    <t>PRMLBCLD124GW-W</t>
  </si>
  <si>
    <t>24 LED Replacement Corner Module w/ White Alley (driver rear or passenger front) for Exterior Lightbar, 10-16v - Dual Color Green &amp; White LEDs</t>
  </si>
  <si>
    <t>PRMLBCLD124RA-W</t>
  </si>
  <si>
    <t>24 LED Replacement Corner Module w/ White Alley (driver rear or passenger front) for Exterior Lightbar, 10-16v - Dual Color Red &amp; Amber LEDs</t>
  </si>
  <si>
    <t>PRMLBCLD124RB-W</t>
  </si>
  <si>
    <t>24 LED Replacement Corner Module w/ White Alley (driver rear or passenger front) for Exterior Lightbar, 10-16v - Dual Color Red &amp; Blue LEDs</t>
  </si>
  <si>
    <t>PRMLBCLD124RG-W</t>
  </si>
  <si>
    <t>24 LED Replacement Corner Module w/ White Alley (driver rear or passenger front) for Exterior Lightbar, 10-16v - Dual Color Red &amp; Green LEDs</t>
  </si>
  <si>
    <t>PRMLBCLD124RW-W</t>
  </si>
  <si>
    <t>24 LED Replacement Corner Module w/ White Alley (driver rear or passenger front) for Exterior Lightbar, 10-16v - Dual Color Red &amp; White LEDs</t>
  </si>
  <si>
    <t>PRMLBCLD124WW-W</t>
  </si>
  <si>
    <t>24 LED Replacement Corner Module w/ White Alley (driver rear or passenger front) for Exterior Lightbar, 10-16v - Dual Color White &amp; White LEDs</t>
  </si>
  <si>
    <t>PRMLBCLD130BW-W</t>
  </si>
  <si>
    <t>30 LED Replacement Corner Module w/ White Alley (driver rear or passenger front) for Exterior Lightbar, 10-16v - Dual Color Blue &amp; White LEDs</t>
  </si>
  <si>
    <t>PRMLBCLD130RW-W</t>
  </si>
  <si>
    <t>30 LED Replacement Corner Module w/ White Alley (driver rear or passenger front) for Exterior Lightbar, 10-16v - Dual Color Red &amp; White LEDs</t>
  </si>
  <si>
    <t>PRMLBCLS109A-W</t>
  </si>
  <si>
    <t>9 LED Replacement Corner Module w/ White Alley (driver rear or passenger front) for Exterior Lightbar, 10-16v - Single Color Amber LEDs</t>
  </si>
  <si>
    <t>PRMLBCLS109B-W</t>
  </si>
  <si>
    <t>9 LED Replacement Corner Module w/ White Alley (driver rear or passenger front) for Exterior Lightbar, 10-16v - Single Color Blue LEDs</t>
  </si>
  <si>
    <t>PRMLBCLS109G-W</t>
  </si>
  <si>
    <t>9 LED Replacement Corner Module w/ White Alley (driver rear or passenger front) for Exterior Lightbar, 10-16v - Single Color Green LEDs</t>
  </si>
  <si>
    <t>PRMLBCLS109R-W</t>
  </si>
  <si>
    <t>9 LED Replacement Corner Module w/ White Alley (driver rear or passenger front) for Exterior Lightbar, 10-16v - Single Color Red LEDs</t>
  </si>
  <si>
    <t>PRMLBCLS109W-W</t>
  </si>
  <si>
    <t>9 LED Replacement Corner Module w/ White Alley (driver rear or passenger front) for Exterior Lightbar, 10-16v - Single Color White LEDs</t>
  </si>
  <si>
    <t>PRMLBCLS112A-W</t>
  </si>
  <si>
    <t>12 LED Replacement Corner Module w/ White Alley (driver rear or passenger front) for Exterior Lightbar, 10-16v - Single Color Amber LEDs</t>
  </si>
  <si>
    <t>PRMLBCLS112B-W</t>
  </si>
  <si>
    <t>12 LED Replacement Corner Module w/ White Alley (driver rear or passenger front) for Exterior Lightbar, 10-16v - Single Color Blue LEDs</t>
  </si>
  <si>
    <t>PRMLBCLS112G-W</t>
  </si>
  <si>
    <t>12 LED Replacement Corner Module w/ White Alley (driver rear or passenger front) for Exterior Lightbar, 10-16v - Single Color Green LEDs</t>
  </si>
  <si>
    <t>PRMLBCLS112R-W</t>
  </si>
  <si>
    <t>12 LED Replacement Corner Module w/ White Alley (driver rear or passenger front) for Exterior Lightbar, 10-16v - Single Color Red LEDs</t>
  </si>
  <si>
    <t>PRMLBCLS112W-W</t>
  </si>
  <si>
    <t>12 LED Replacement Corner Module w/ White Alley (driver rear or passenger front) for Exterior Lightbar, 10-16v - Single Color White LEDs</t>
  </si>
  <si>
    <t>PRMLBCLS118B-W</t>
  </si>
  <si>
    <t>18 LED Replacement Corner Module w/ White Alley (driver rear or passenger front) for Exterior Lightbar, 10-16v - Single Color Blue LEDs</t>
  </si>
  <si>
    <t>PRMLBCLS118R-W</t>
  </si>
  <si>
    <t>18 LED Replacement Corner Module w/ White Alley (driver rear or passenger front) for Exterior Lightbar, 10-16v - Single Color Red LEDs</t>
  </si>
  <si>
    <t>PRMLBCSD118AW</t>
  </si>
  <si>
    <t>18 LED Replacement Corner Module (driver front or passenger rear) for Exterior Lightbar, 10-16v - Dual Color Amber &amp; White LEDs</t>
  </si>
  <si>
    <t>PRMLBCSD118BA</t>
  </si>
  <si>
    <t>18 LED Replacement Corner Module (driver front or passenger rear) for Exterior Lightbar, 10-16v - Dual Color Blue &amp; Amber LEDs</t>
  </si>
  <si>
    <t>PRMLBCSD118BG</t>
  </si>
  <si>
    <t>18 LED Replacement Corner Module (driver front or passenger rear) for Exterior Lightbar, 10-16v - Dual Color Blue &amp; Green LEDs</t>
  </si>
  <si>
    <t>PRMLBCSD118BW</t>
  </si>
  <si>
    <t>18 LED Replacement Corner Module (driver front or passenger rear) for Exterior Lightbar, 10-16v - Dual Color Blue &amp; White LEDs</t>
  </si>
  <si>
    <t>PRMLBCSD118GA</t>
  </si>
  <si>
    <t>18 LED Replacement Corner Module (driver front or passenger rear) for Exterior Lightbar, 10-16v - Dual Color Green &amp; Amber LEDs</t>
  </si>
  <si>
    <t>PRMLBCSD118GW</t>
  </si>
  <si>
    <t>18 LED Replacement Corner Module (driver front or passenger rear) for Exterior Lightbar, 10-16v - Dual Color Green &amp; White LEDs</t>
  </si>
  <si>
    <t>PRMLBCSD118RA</t>
  </si>
  <si>
    <t>18 LED Replacement Corner Module (driver front or passenger rear) for Exterior Lightbar, 10-16v - Dual Color Red &amp; Amber LEDs</t>
  </si>
  <si>
    <t>PRMLBCSD118RB</t>
  </si>
  <si>
    <t>18 LED Replacement Corner Module (driver front or passenger rear) for Exterior Lightbar, 10-16v - Dual Color Red &amp; Blue LEDs</t>
  </si>
  <si>
    <t>PRMLBCSD118RG</t>
  </si>
  <si>
    <t>18 LED Replacement Corner Module (driver front or passenger rear) for Exterior Lightbar, 10-16v - Dual Color Red &amp; Green LEDs</t>
  </si>
  <si>
    <t>PRMLBCSD118RW</t>
  </si>
  <si>
    <t>18 LED Replacement Corner Module (driver front or passenger rear) for Exterior Lightbar, 10-16v - Dual Color Red &amp; White LEDs</t>
  </si>
  <si>
    <t>PRMLBCSD118WW</t>
  </si>
  <si>
    <t>18 LED Replacement Corner Module (driver front or passenger rear) for Exterior Lightbar, 10-16v - Dual Color White &amp; White LEDs</t>
  </si>
  <si>
    <t>PRMLBCSD124AW</t>
  </si>
  <si>
    <t>24 LED Replacement Corner Module (driver front or passenger rear) for Exterior Lightbar, 10-16v - Dual Color Amber &amp; White LEDs</t>
  </si>
  <si>
    <t>PRMLBCSD124BA</t>
  </si>
  <si>
    <t>24 LED Replacement Corner Module (driver front or passenger rear) for Exterior Lightbar, 10-16v - Dual Color Blue &amp; Amber LEDs</t>
  </si>
  <si>
    <t>PRMLBCSD124BG</t>
  </si>
  <si>
    <t>24 LED Replacement Corner Module (driver front or passenger rear) for Exterior Lightbar, 10-16v - Dual Color Blue &amp; Green LEDs</t>
  </si>
  <si>
    <t>PRMLBCSD124BW</t>
  </si>
  <si>
    <t>24 LED Replacement Corner Module (driver front or passenger rear) for Exterior Lightbar, 10-16v - Dual Color Blue &amp; White LEDs</t>
  </si>
  <si>
    <t>PRMLBCSD124GA</t>
  </si>
  <si>
    <t>24 LED Replacement Corner Module (driver front or passenger rear) for Exterior Lightbar, 10-16v - Dual Color Green &amp; Amber LEDs</t>
  </si>
  <si>
    <t>PRMLBCSD124GW</t>
  </si>
  <si>
    <t>24 LED Replacement Corner Module (driver front or passenger rear) for Exterior Lightbar, 10-16v - Dual Color Green &amp; White LEDs</t>
  </si>
  <si>
    <t>PRMLBCSD124RA</t>
  </si>
  <si>
    <t>24 LED Replacement Corner Module (driver front or passenger rear) for Exterior Lightbar, 10-16v - Dual Color Red &amp; Amber LEDs</t>
  </si>
  <si>
    <t>PRMLBCSD124RB</t>
  </si>
  <si>
    <t>24 LED Replacement Corner Module (driver front or passenger rear) for Exterior Lightbar, 10-16v - Dual Color Red &amp; Blue LEDs</t>
  </si>
  <si>
    <t>PRMLBCSD124RG</t>
  </si>
  <si>
    <t>24 LED Replacement Corner Module (driver front or passenger rear) for Exterior Lightbar, 10-16v - Dual Color Red &amp; Green LEDs</t>
  </si>
  <si>
    <t>PRMLBCSD124RW</t>
  </si>
  <si>
    <t>24 LED Replacement Corner Module (driver front or passenger rear) for Exterior Lightbar, 10-16v - Dual Color Red &amp; White LEDs</t>
  </si>
  <si>
    <t>PRMLBCSD124WW</t>
  </si>
  <si>
    <t>24 LED Replacement Corner Module (driver front or passenger rear) for Exterior Lightbar, 10-16v - Dual Color White &amp; White LEDs</t>
  </si>
  <si>
    <t>PRMLBCSD130BW</t>
  </si>
  <si>
    <t>30 LED Replacement Corner Module (driver front or passenger rear) for Exterior Lightbar, 10-16v - Dual Color Blue &amp; White LEDs</t>
  </si>
  <si>
    <t>PRMLBCSD130RW</t>
  </si>
  <si>
    <t>30 LED Replacement Corner Module (driver front or passenger rear) for Exterior Lightbar, 10-16v - Dual Color Red &amp; White LEDs</t>
  </si>
  <si>
    <t>PRMLBCSS109A</t>
  </si>
  <si>
    <t>9 LED Replacement Corner Module (driver front or passenger rear) for Exterior Lightbar, 10-16v - Single Color Amber LEDs</t>
  </si>
  <si>
    <t>PRMLBCSS109B</t>
  </si>
  <si>
    <t>9 LED Replacement Corner Module (driver front or passenger rear) for Exterior Lightbar, 10-16v - Single Color Blue LEDs</t>
  </si>
  <si>
    <t>PRMLBCSS109G</t>
  </si>
  <si>
    <t>9 LED Replacement Corner Module (driver front or passenger rear) for Exterior Lightbar, 10-16v - Single Color Green LEDs</t>
  </si>
  <si>
    <t>PRMLBCSS109R</t>
  </si>
  <si>
    <t>9 LED Replacement Corner Module (driver front or passenger rear) for Exterior Lightbar, 10-16v - Single Color Red LEDs</t>
  </si>
  <si>
    <t>PRMLBCSS109W</t>
  </si>
  <si>
    <t>9 LED Replacement Corner Module (driver front or passenger rear) for Exterior Lightbar, 10-16v - Single Color White LEDs</t>
  </si>
  <si>
    <t>PRMLBCSS112A</t>
  </si>
  <si>
    <t>12 LED Replacement Corner Module (driver front or passenger rear) for Exterior Lightbar, 10-16v - Single Color Amber LEDs</t>
  </si>
  <si>
    <t>PRMLBCSS112B</t>
  </si>
  <si>
    <t>12 LED Replacement Corner Module (driver front or passenger rear) for Exterior Lightbar, 10-16v - Single Color Blue LEDs</t>
  </si>
  <si>
    <t>PRMLBCSS112G</t>
  </si>
  <si>
    <t>12 LED Replacement Corner Module (driver front or passenger rear) for Exterior Lightbar, 10-16v - Single Color Green LEDs</t>
  </si>
  <si>
    <t>PRMLBCSS112R</t>
  </si>
  <si>
    <t>12 LED Replacement Corner Module (driver front or passenger rear) for Exterior Lightbar, 10-16v - Single Color Red LEDs</t>
  </si>
  <si>
    <t>PRMLBCSS112W</t>
  </si>
  <si>
    <t>12 LED Replacement Corner Module (driver front or passenger rear) for Exterior Lightbar, 10-16v - Single Color White LEDs</t>
  </si>
  <si>
    <t>PRMLBCSS118B</t>
  </si>
  <si>
    <t>18 LED Replacement Corner Module (driver front or passenger rear) for Exterior Lightbar, 10-16v - Single Color Blue LEDs</t>
  </si>
  <si>
    <t>PRMLBCSS118R</t>
  </si>
  <si>
    <t>18 LED Replacement Corner Module (driver front or passenger rear) for Exterior Lightbar, 10-16v - Single Color Red LEDs</t>
  </si>
  <si>
    <t>PRMLBHS106W</t>
  </si>
  <si>
    <t>6 LED Replacement Inboard Take Down/Work Light Module for Exterior Lightbar, 10-16v - Single Color White LEDs</t>
  </si>
  <si>
    <t>PRMLBLD1120A</t>
  </si>
  <si>
    <t>12 LED Replacement Inboard Module for Exterior Lightbar, 10-16v - 1/2 Blank &amp; 1/2 Amber LEDs</t>
  </si>
  <si>
    <t>PRMLBLD1120W</t>
  </si>
  <si>
    <t>12 LED Replacement Inboard Module for Exterior Lightbar, 10-16v - 1/2 Blank &amp; 1/2 White LEDs</t>
  </si>
  <si>
    <t>PRMLBLD112AA</t>
  </si>
  <si>
    <t>12 LED Replacement Inboard Module for Exterior Lightbar, 10-16v - Dual Color Green &amp; Amber LEDs</t>
  </si>
  <si>
    <t>PRMLBLD112AW</t>
  </si>
  <si>
    <t>12 LED Replacement Inboard Module for Exterior Lightbar, 10-16v - Dual Color Amber &amp; White LEDs</t>
  </si>
  <si>
    <t>PRMLBLD112BA</t>
  </si>
  <si>
    <t>12 LED Replacement Inboard Module for Exterior Lightbar, 10-16v - Dual Color Blue &amp; Amber LEDs</t>
  </si>
  <si>
    <t>PRMLBLD112BG</t>
  </si>
  <si>
    <t>12 LED Replacement Inboard Module for Exterior Lightbar, 10-16v - Dual Color Blue &amp; Green LEDs</t>
  </si>
  <si>
    <t>PRMLBLD112BW</t>
  </si>
  <si>
    <t>12 LED Replacement Inboard Module for Exterior Lightbar, 10-16v - Dual Color Blue &amp; White LEDs</t>
  </si>
  <si>
    <t>PRMLBLD112GA</t>
  </si>
  <si>
    <t>PRMLBLD112GW</t>
  </si>
  <si>
    <t>12 LED Replacement Inboard Module for Exterior Lightbar, 10-16v - Dual Color Green &amp; White LEDs</t>
  </si>
  <si>
    <t>PRMLBLD112RA</t>
  </si>
  <si>
    <t>12 LED Replacement Inboard Module for Exterior Lightbar, 10-16v - Dual Color Red &amp; Amber LEDs</t>
  </si>
  <si>
    <t>PRMLBLD112RB</t>
  </si>
  <si>
    <t>12 LED Replacement Inboard Module for Exterior Lightbar, 10-16v - Dual Color Red &amp; Blue LEDs</t>
  </si>
  <si>
    <t>PRMLBLD112RG</t>
  </si>
  <si>
    <t>12 LED Replacement Inboard Module for Exterior Lightbar, 10-16v - Dual Color Red &amp; Green LEDs</t>
  </si>
  <si>
    <t>PRMLBLD112RW</t>
  </si>
  <si>
    <t>12 LED Replacement Inboard Module for Exterior Lightbar, 10-16v - Dual Color Red &amp; White LEDs</t>
  </si>
  <si>
    <t>PRMLBLD112WA</t>
  </si>
  <si>
    <t>12 LED Replacement Inboard Module for Exterior Lightbar, 10-16v - Dual Color White &amp; Amber LEDs</t>
  </si>
  <si>
    <t>PRMLBLD112WW</t>
  </si>
  <si>
    <t>12 LED Replacement Inboard Module for Exterior Lightbar, 10-16v - Dual Color White &amp; White LEDs</t>
  </si>
  <si>
    <t>PRMLBLD115RA</t>
  </si>
  <si>
    <t>15 LED Replacement Inboard Module for Exterior Lightbar, 10-16v - Dual Color Red &amp; White LEDs</t>
  </si>
  <si>
    <t>PRMLBLD115RW</t>
  </si>
  <si>
    <t>PRMLBLD1180A</t>
  </si>
  <si>
    <t>18 LED Replacement Inboard Module for Exterior Lightbar, 10-16v - 1/2 Blank &amp; 1/2 Amber LEDs</t>
  </si>
  <si>
    <t>PRMLBLD1180W</t>
  </si>
  <si>
    <t>PRMLBLD118AA</t>
  </si>
  <si>
    <t>18 LED Replacement Inboard Module for Exterior Lightbar, 10-16v - Dual Color Amber &amp; Amber LEDs</t>
  </si>
  <si>
    <t>PRMLBLD118AW</t>
  </si>
  <si>
    <t>18 LED Replacement Inboard Module for Exterior Lightbar, 10-16v - Dual Color Amber &amp; White LEDs</t>
  </si>
  <si>
    <t>PRMLBLD118BA</t>
  </si>
  <si>
    <t>18 LED Replacement Inboard Module for Exterior Lightbar, 10-16v - Dual Color Blue &amp; Amber LEDs</t>
  </si>
  <si>
    <t>PRMLBLD118BG</t>
  </si>
  <si>
    <t>18 LED Replacement Inboard Module for Exterior Lightbar, 10-16v - Dual Color Blue &amp; Green LEDs</t>
  </si>
  <si>
    <t>PRMLBLD118BW</t>
  </si>
  <si>
    <t>18 LED Replacement Inboard Module for Exterior Lightbar, 10-16v - Dual Color Blue &amp; White LEDs</t>
  </si>
  <si>
    <t>PRMLBLD118GA</t>
  </si>
  <si>
    <t>18 LED Replacement Inboard Module for Exterior Lightbar, 10-16v - Dual Color Green &amp; Amber LEDs</t>
  </si>
  <si>
    <t>PRMLBLD118GW</t>
  </si>
  <si>
    <t>18 LED Replacement Inboard Module for Exterior Lightbar, 10-16v - Dual Color Green &amp; White LEDs</t>
  </si>
  <si>
    <t>PRMLBLD118RA</t>
  </si>
  <si>
    <t>18 LED Replacement Inboard Module for Exterior Lightbar, 10-16v - Dual Color Red &amp; Amber LEDs</t>
  </si>
  <si>
    <t>PRMLBLD118RB</t>
  </si>
  <si>
    <t>18 LED Replacement Inboard Module for Exterior Lightbar, 10-16v - Dual Color Red &amp; Blue LEDs</t>
  </si>
  <si>
    <t>PRMLBLD118RG</t>
  </si>
  <si>
    <t>18 LED Replacement Inboard Module for Exterior Lightbar, 10-16v - Dual Color Red &amp; Green LEDs</t>
  </si>
  <si>
    <t>PRMLBLD118RW</t>
  </si>
  <si>
    <t>18 LED Replacement Inboard Module for Exterior Lightbar, 10-16v - Dual Color Red &amp; White LEDs</t>
  </si>
  <si>
    <t>PRMLBLD118WA</t>
  </si>
  <si>
    <t>18 LED Replacement Inboard Module for Exterior Lightbar, 10-16v - Dual Color White &amp; Amber LEDs</t>
  </si>
  <si>
    <t>PRMLBLD118WW</t>
  </si>
  <si>
    <t>18 LED Replacement Inboard Module for Exterior Lightbar, 10-16v - Dual Color White &amp; White LEDs</t>
  </si>
  <si>
    <t>PRMLBLS106A</t>
  </si>
  <si>
    <t>6 LED Replacement Inboard Module for Exterior Lightbar, 10-16v - Single Color Amber LEDs</t>
  </si>
  <si>
    <t>PRMLBLS106B</t>
  </si>
  <si>
    <t>6 LED Replacement Inboard Module for Exterior Lightbar, 10-16v - Single Color Blue LEDs</t>
  </si>
  <si>
    <t>PRMLBLS106G</t>
  </si>
  <si>
    <t>6 LED Replacement Inboard Module for Exterior Lightbar, 10-16v - Single Color Green LEDs</t>
  </si>
  <si>
    <t>PRMLBLS106R</t>
  </si>
  <si>
    <t>6 LED Replacement Inboard Module for Exterior Lightbar, 10-16v - Single Color Red LEDs</t>
  </si>
  <si>
    <t>PRMLBLS106W</t>
  </si>
  <si>
    <t>6 LED Replacement Inboard Module for Exterior Lightbar, 10-16v - Single Color White LEDs</t>
  </si>
  <si>
    <t>PRMLBLS109A</t>
  </si>
  <si>
    <t>9 LED Replacement Inboard Module for Exterior Lightbar, 10-16v - Single Color Amber LEDs</t>
  </si>
  <si>
    <t>PRMLBLS109B</t>
  </si>
  <si>
    <t>9 LED Replacement Inboard Module for Exterior Lightbar, 10-16v - Single Color Blue LEDs</t>
  </si>
  <si>
    <t>PRMLBLS109G</t>
  </si>
  <si>
    <t>9 LED Replacement Inboard Module for Exterior Lightbar, 10-16v - Single Color Green LEDs</t>
  </si>
  <si>
    <t>PRMLBLS109R</t>
  </si>
  <si>
    <t>9 LED Replacement Inboard Module for Exterior Lightbar, 10-16v - Single Color Red LEDs</t>
  </si>
  <si>
    <t>PRMLBLS109W</t>
  </si>
  <si>
    <t>9 LED Replacement Inboard Module for Exterior Lightbar, 10-16v - Single Color White LEDs</t>
  </si>
  <si>
    <t>PRMLBSS106R</t>
  </si>
  <si>
    <t>6 LED Replacement Inboard Stop/Tail/Turn Module for Exterior Lightbar, 10-16v - Single Color Red LEDs</t>
  </si>
  <si>
    <t>PUL3M10AMB</t>
  </si>
  <si>
    <t>Replacement Module for Exterior w/ 8" Harness &amp; Molex Connector - Amber</t>
  </si>
  <si>
    <t>PUL3M10BLU</t>
  </si>
  <si>
    <t>Replacement Module for Exterior w/ 8" Harness &amp; Molex Connector - Blue</t>
  </si>
  <si>
    <t>PUL3M10GRN</t>
  </si>
  <si>
    <t>Replacement Module for Exterior w/ 8" Harness &amp; Molex Connector - Green</t>
  </si>
  <si>
    <t>PUL3M10RED</t>
  </si>
  <si>
    <t>Replacement Module for Exterior w/ 8" Harness &amp; Molex Connector - Red</t>
  </si>
  <si>
    <t>PUL3M10WHT</t>
  </si>
  <si>
    <t>Replacement Module for Exterior w/ 8" Harness &amp; Molex Connector - White</t>
  </si>
  <si>
    <t>PUL3M11AMB</t>
  </si>
  <si>
    <t>Replacement Module for Interior w/ 8" Harness &amp; Molex Connector - Amber</t>
  </si>
  <si>
    <t>PUL3M11BLU</t>
  </si>
  <si>
    <t>Replacement Module for Interior w/ 8" Harness &amp; Molex Connector - Blue</t>
  </si>
  <si>
    <t>PUL3M11GRN</t>
  </si>
  <si>
    <t>Replacement Module for Interior w/ 8" Harness &amp; Molex Connector - Green</t>
  </si>
  <si>
    <t>PUL3M11RED</t>
  </si>
  <si>
    <t>Replacement Module for Interior w/ 8" Harness &amp; Molex Connector - Red</t>
  </si>
  <si>
    <t>PUL3M11WHT</t>
  </si>
  <si>
    <t>Replacement Module for Interior w/ 8" Harness &amp; Molex Connector - White</t>
  </si>
  <si>
    <t>PUL3M12AMB</t>
  </si>
  <si>
    <t>Replacement Module for Interior w/ 16" Harness &amp; Molex Connector - Amber</t>
  </si>
  <si>
    <t>PUL3M12BLU</t>
  </si>
  <si>
    <t>Replacement Module for Interior w/ 16" Harness &amp; Molex Connector - Blue</t>
  </si>
  <si>
    <t>PUL3M12GRN</t>
  </si>
  <si>
    <t>Replacement Module for Interior w/ 16" Harness &amp; Molex Connector - Green</t>
  </si>
  <si>
    <t>PUL3M12RED</t>
  </si>
  <si>
    <t>Replacement Module for Interior w/ 16" Harness &amp; Molex Connector - Red</t>
  </si>
  <si>
    <t>PUL3M12WHT</t>
  </si>
  <si>
    <t>Replacement Module for Interior w/ 16" Harness &amp; Molex Connector - White</t>
  </si>
  <si>
    <t>PUL3M13AMB-20</t>
  </si>
  <si>
    <t>Replacement Module for Windshield w/ 3" Harness &amp; Molex Connector - Amber</t>
  </si>
  <si>
    <t>PUL3M13BLU-20</t>
  </si>
  <si>
    <t>Replacement Module for Windshield w/ 3" Harness &amp; Molex Connector - Blue</t>
  </si>
  <si>
    <t>PUL3M13GRN-20</t>
  </si>
  <si>
    <t>Replacement Module for Windshield w/ 3" Harness &amp; Molex Connector - Green</t>
  </si>
  <si>
    <t>PUL3M13RED-20</t>
  </si>
  <si>
    <t>Replacement Module for Windshield w/ 3" Harness &amp; Molex Connector - Red</t>
  </si>
  <si>
    <t>PUL3M13WHT-20</t>
  </si>
  <si>
    <t>Replacement Module for Windshield w/ 3" Harness &amp; Molex Connector - White</t>
  </si>
  <si>
    <t>PEMG2E00</t>
  </si>
  <si>
    <t>Magnum (EMG2000) Motherboard, 10-16 volt</t>
  </si>
  <si>
    <t>PEMG2E01</t>
  </si>
  <si>
    <t>Magnum (EMG2000) Motherboard, 10-30 volt</t>
  </si>
  <si>
    <t>PEPL9CNTRL1</t>
  </si>
  <si>
    <t>Pinnacle (EPL9000) Motherboard, 12 volt</t>
  </si>
  <si>
    <t>PSRN4MTBK1</t>
  </si>
  <si>
    <t>Mounting Bracket for Amplifier Box fits nERGY® 400 Series</t>
  </si>
  <si>
    <t>PMPAKLMQD208DC</t>
  </si>
  <si>
    <t>mpower® 3" 3-wire Module w/ Quick Mount, for use with mpower Arrow Kit, SAE Class 1 &amp; CA Title 13, 9-32 Vdc, Black Housing, 8 LED, Dual Color - Red/White</t>
  </si>
  <si>
    <t>PMPAKLMQD208EC</t>
  </si>
  <si>
    <t>mpower® 3" 3-wire Module w/ Quick Mount, for use with mpower Arrow Kit, SAE Class 1 &amp; CA Title 13, 9-32 Vdc, Black Housing, 8 LED, Dual Color - Blue/White</t>
  </si>
  <si>
    <t>PMPAKLMQD208FC</t>
  </si>
  <si>
    <t>mpower® 3" 3-wire Module w/ Quick Mount, for use with mpower Arrow Kit, SAE Class 1 &amp; CA Title 13, 9-32 Vdc, Black Housing, 8 LED, Dual Color - Amber/White</t>
  </si>
  <si>
    <t>PMPAKLMQD208HC</t>
  </si>
  <si>
    <t>mpower® 3" 3-wire Module w/ Quick Mount, for use with mpower Arrow Kit, SAE Class 1 &amp; CA Title 13, 9-32 Vdc, Black Housing, 8 LED, Dual Color - Green/White</t>
  </si>
  <si>
    <t>PMPAKLMQD208JC</t>
  </si>
  <si>
    <t>mpower® 3" 3-wire Module w/ Quick Mount, for use with mpower Arrow Kit, SAE Class 1 &amp; CA Title 13, 9-32 Vdc, Black Housing, 8 LED, Dual Color - Red/Blue</t>
  </si>
  <si>
    <t>PMPAKLMQD208KC</t>
  </si>
  <si>
    <t>mpower® 3" 3-wire Module w/ Quick Mount, for use with mpower Arrow Kit, SAE Class 1 &amp; CA Title 13, 9-32 Vdc, Black Housing, 8 LED, Dual Color - Red/Amber</t>
  </si>
  <si>
    <t>PMPAKLMQD208LC</t>
  </si>
  <si>
    <t>mpower® 3" 3-wire Module w/ Quick Mount, for use with mpower Arrow Kit, SAE Class 1 &amp; CA Title 13, 9-32 Vdc, Black Housing, 8 LED, Dual Color - Red/Green</t>
  </si>
  <si>
    <t>PMPAKLMQD208MC</t>
  </si>
  <si>
    <t>mpower® 3" 3-wire Module w/ Quick Mount, for use with mpower Arrow Kit, SAE Class 1 &amp; CA Title 13, 9-32 Vdc, Black Housing, 8 LED, Dual Color - Blue/Amber</t>
  </si>
  <si>
    <t>PMPAKLMQD208NC</t>
  </si>
  <si>
    <t>mpower® 3" 3-wire Module w/ Quick Mount, for use with mpower Arrow Kit, SAE Class 1 &amp; CA Title 13, 9-32 Vdc, Black Housing, 8 LED, Dual Color - Blue/Green</t>
  </si>
  <si>
    <t>PMPAKLMQD208PC</t>
  </si>
  <si>
    <t>mpower® 3" 3-wire Module w/ Quick Mount, for use with mpower Arrow Kit, SAE Class 1 &amp; CA Title 13, 9-32 Vdc, Black Housing, 8 LED, Dual Color - Green/Amber</t>
  </si>
  <si>
    <t>PMPAKLMQS204AC</t>
  </si>
  <si>
    <t>mpower® 3" 3-wire Module w/ Quick Mount, for use with mpower Arrow Kit, SAE Class 1 &amp; CA Title 13, 9-32 Vdc, Black Housing, 4 LED, Single Color - Amber</t>
  </si>
  <si>
    <t>PMPAKLMQS204BC</t>
  </si>
  <si>
    <t>mpower® 3" 3-wire Module w/ Quick Mount, for use with mpower Arrow Kit, SAE Class 1 &amp; CA Title 13, 9-32 Vdc, Black Housing, 4 LED, Single Color - Blue</t>
  </si>
  <si>
    <t>PMPAKLMQS204GC</t>
  </si>
  <si>
    <t>mpower® 3" 3-wire Module w/ Quick Mount, for use with mpower Arrow Kit, SAE Class 1 &amp; CA Title 13, 9-32 Vdc, Black Housing, 4 LED, Single Color - Green</t>
  </si>
  <si>
    <t>PMPAKLMQS204RC</t>
  </si>
  <si>
    <t>mpower® 3" 3-wire Module w/ Quick Mount, for use with mpower Arrow Kit, SAE Class 1 &amp; CA Title 13, 9-32 Vdc, Black Housing, 4 LED, Single Color - Red</t>
  </si>
  <si>
    <t>PMPAKLMQS204WC</t>
  </si>
  <si>
    <t>mpower® 3" 3-wire Module w/ Quick Mount, for use with mpower Arrow Kit, SAE Class 1 &amp; CA Title 13, 9-32 Vdc, Black Housing, 4 LED, Single Color - White</t>
  </si>
  <si>
    <t>PMPAKLMQS208AC</t>
  </si>
  <si>
    <t>mpower® 3" 3-wire Module w/ Quick Mount, for use with mpower Arrow Kit, SAE Class 1 &amp; CA Title 13, 9-32 Vdc, Black Housing, 8 LED, Single Color - Amber</t>
  </si>
  <si>
    <t>PMPAKLMQS208BC</t>
  </si>
  <si>
    <t>mpower® 3" 3-wire Module w/ Quick Mount, for use with mpower Arrow Kit, SAE Class 1 &amp; CA Title 13, 9-32 Vdc, Black Housing, 8 LED, Single Color - Blue</t>
  </si>
  <si>
    <t>PMPAKLMQS208GC</t>
  </si>
  <si>
    <t>mpower® 3" 3-wire Module w/ Quick Mount, for use with mpower Arrow Kit, SAE Class 1 &amp; CA Title 13, 9-32 Vdc, Black Housing, 8 LED, Single Color - Green</t>
  </si>
  <si>
    <t>PMPAKLMQS208RC</t>
  </si>
  <si>
    <t>mpower® 3" 3-wire Module w/ Quick Mount, for use with mpower Arrow Kit, SAE Class 1 &amp; CA Title 13, 9-32 Vdc, Black Housing, 8 LED, Single Color - Red</t>
  </si>
  <si>
    <t>PMPAKLMQS208WC</t>
  </si>
  <si>
    <t>mpower® 3" 3-wire Module w/ Quick Mount, for use with mpower Arrow Kit, SAE Class 1 &amp; CA Title 13, 9-32 Vdc, Black Housing, 8 LED, Single Color - White</t>
  </si>
  <si>
    <t>PMPAKLMQT212BAGC</t>
  </si>
  <si>
    <t>mpower® 3" 3-wire Module w/ Quick Mount, for use with mpower Arrow Kit, SAE Class 1 &amp; CA Title 13, 9-32 Vdc, Black Housing, 18 LED, Tricolor - Blue/Amber/Green</t>
  </si>
  <si>
    <t>PMPAKLMQT212BAWC</t>
  </si>
  <si>
    <t>mpower® 3" 3-wire Module w/ Quick Mount, for use with mpower Arrow Kit, SAE Class 1 &amp; CA Title 13, 9-32 Vdc, Black Housing, 18 LED, Tricolor - Blue/Amber/White</t>
  </si>
  <si>
    <t>PMPAKLMQT212BGWC</t>
  </si>
  <si>
    <t>mpower® 3" 3-wire Module w/ Quick Mount, for use with mpower Arrow Kit, SAE Class 1 &amp; CA Title 13, 9-32 Vdc, Black Housing, 18 LED, Tricolor - Blue/Green/White</t>
  </si>
  <si>
    <t>PMPAKLMQT212GAWC</t>
  </si>
  <si>
    <t>mpower® 3" 3-wire Module w/ Quick Mount, for use with mpower Arrow Kit, SAE Class 1 &amp; CA Title 13, 9-32 Vdc, Black Housing, 18 LED, Tricolor - Green/Amber/White</t>
  </si>
  <si>
    <t>PMPAKLMQT212RAGC</t>
  </si>
  <si>
    <t>mpower® 3" 3-wire Module w/ Quick Mount, for use with mpower Arrow Kit, SAE Class 1 &amp; CA Title 13, 9-32 Vdc, Black Housing, 18 LED, Tricolor - Red/Amber/Green</t>
  </si>
  <si>
    <t>PMPAKLMQT212RAWC</t>
  </si>
  <si>
    <t>mpower® 3" 3-wire Module w/ Quick Mount, for use with mpower Arrow Kit, SAE Class 1 &amp; CA Title 13, 9-32 Vdc, Black Housing, 18 LED, Tricolor - Red/Amber/White</t>
  </si>
  <si>
    <t>PMPAKLMQT212RBAC</t>
  </si>
  <si>
    <t>mpower® 3" 3-wire Module w/ Quick Mount, for use with mpower Arrow Kit, SAE Class 1 &amp; CA Title 13, 9-32 Vdc, Black Housing, 18 LED, Tricolor - Red/Blue/Amber</t>
  </si>
  <si>
    <t>PMPAKLMQT212RBGC</t>
  </si>
  <si>
    <t>mpower® 3" 3-wire Module w/ Quick Mount, for use with mpower Arrow Kit, SAE Class 1 &amp; CA Title 13, 9-32 Vdc, Black Housing, 18 LED, Tricolor - Red/Blue/Green</t>
  </si>
  <si>
    <t>PMPAKLMQT212RBWC</t>
  </si>
  <si>
    <t>mpower® 3" 3-wire Module w/ Quick Mount, for use with mpower Arrow Kit, SAE Class 1 &amp; CA Title 13, 9-32 Vdc, Black Housing, 18 LED, Tricolor - Red/Blue/White</t>
  </si>
  <si>
    <t>PMPAKLMQT212RGWC</t>
  </si>
  <si>
    <t>mpower® 3" 3-wire Module w/ Quick Mount, for use with mpower Arrow Kit, SAE Class 1 &amp; CA Title 13, 9-32 Vdc, Black Housing, 18 LED, Tricolor - Red/Green/White</t>
  </si>
  <si>
    <t>PMPAKLMMD208DC</t>
  </si>
  <si>
    <t>mpower® 3" 3-wire Module w/ Screw Mount, for use with mpower Arrow Kit, SAE Class 1 &amp; CA Title 13, 9-32 Vdc, Black Housing, 8 LED, Dual Color - Red/White</t>
  </si>
  <si>
    <t>PMPAKLMMD208EC</t>
  </si>
  <si>
    <t>mpower® 3" 3-wire Module w/ Screw Mount, for use with mpower Arrow Kit, SAE Class 1 &amp; CA Title 13, 9-32 Vdc, Black Housing, 8 LED, Dual Color - Blue/White</t>
  </si>
  <si>
    <t>PMPAKLMMD208FC</t>
  </si>
  <si>
    <t>mpower® 3" 3-wire Module w/ Screw Mount, for use with mpower Arrow Kit, SAE Class 1 &amp; CA Title 13, 9-32 Vdc, Black Housing, 8 LED, Dual Color - Amber/White</t>
  </si>
  <si>
    <t>PMPAKLMMD208HC</t>
  </si>
  <si>
    <t>mpower® 3" 3-wire Module w/ Screw Mount, for use with mpower Arrow Kit, SAE Class 1 &amp; CA Title 13, 9-32 Vdc, Black Housing, 8 LED, Dual Color - Green/White</t>
  </si>
  <si>
    <t>PMPAKLMMD208JC</t>
  </si>
  <si>
    <t>mpower® 3" 3-wire Module w/ Screw Mount, for use with mpower Arrow Kit, SAE Class 1 &amp; CA Title 13, 9-32 Vdc, Black Housing, 8 LED, Dual Color - Red/Blue</t>
  </si>
  <si>
    <t>PMPAKLMMD208KC</t>
  </si>
  <si>
    <t>mpower® 3" 3-wire Module w/ Screw Mount, for use with mpower Arrow Kit, SAE Class 1 &amp; CA Title 13, 9-32 Vdc, Black Housing, 8 LED, Dual Color - Red/Amber</t>
  </si>
  <si>
    <t>PMPAKLMMD208LC</t>
  </si>
  <si>
    <t>mpower® 3" 3-wire Module w/ Screw Mount, for use with mpower Arrow Kit, SAE Class 1 &amp; CA Title 13, 9-32 Vdc, Black Housing, 8 LED, Dual Color - Red/Green</t>
  </si>
  <si>
    <t>PMPAKLMMD208MC</t>
  </si>
  <si>
    <t>mpower® 3" 3-wire Module w/ Screw Mount, for use with mpower Arrow Kit, SAE Class 1 &amp; CA Title 13, 9-32 Vdc, Black Housing, 8 LED, Dual Color - Blue/Amber</t>
  </si>
  <si>
    <t>PMPAKLMMD208NC</t>
  </si>
  <si>
    <t>mpower® 3" 3-wire Module w/ Screw Mount, for use with mpower Arrow Kit, SAE Class 1 &amp; CA Title 13, 9-32 Vdc, Black Housing, 8 LED, Dual Color - Blue/Green</t>
  </si>
  <si>
    <t>PMPAKLMMD208PC</t>
  </si>
  <si>
    <t>mpower® 3" 3-wire Module w/ Screw Mount, for use with mpower Arrow Kit, SAE Class 1 &amp; CA Title 13, 9-32 Vdc, Black Housing, 8 LED, Dual Color - Green/Amber</t>
  </si>
  <si>
    <t>PMPAKLMMS204AC</t>
  </si>
  <si>
    <t>mpower® 3" 3-wire Module w/ Screw Mount, for use with mpower Arrow Kit (3-wire), SAE Class 1 &amp; CA Title 13, 9-32 Vdc, Black Housing, 4 LED, Single Color - Amber</t>
  </si>
  <si>
    <t>PMPAKLMMS204BC</t>
  </si>
  <si>
    <t>mpower® 3" 3-wire Module w/ Screw Mount, for use with mpower Arrow Kit (3-wire), SAE Class 1 &amp; CA Title 13, 9-32 Vdc, Black Housing, 4 LED, Single Color - Blue</t>
  </si>
  <si>
    <t>PMPAKLMMS204GC</t>
  </si>
  <si>
    <t>mpower® 3" 3-wire Module w/ Screw Mount, for use with mpower Arrow Kit (3-wire), SAE Class 1 &amp; CA Title 13, 9-32 Vdc, Black Housing, 4 LED, Single Color - Green</t>
  </si>
  <si>
    <t>PMPAKLMMS204RC</t>
  </si>
  <si>
    <t>mpower® 3" 3-wire Module w/ Screw Mount, for use with mpower Arrow Kit (3-wire), SAE Class 1 &amp; CA Title 13, 9-32 Vdc, Black Housing, 4 LED, Single Color - Red</t>
  </si>
  <si>
    <t>PMPAKLMMS204WC</t>
  </si>
  <si>
    <t>mpower® 3" 3-wire Module w/ Screw Mount, for use with mpower Arrow Kit (3-wire), SAE Class 1 &amp; CA Title 13, 9-32 Vdc, Black Housing, 4 LED, Single Color - White</t>
  </si>
  <si>
    <t>PMPAKLMMS208AC</t>
  </si>
  <si>
    <t>mpower® 3" 3-wire Module w/ Screw Mount, for use with mpower Arrow Kit, SAE Class 1 &amp; CA Title 13, 9-32 Vdc, Black Housing,  8 LED, Single Color - Amber</t>
  </si>
  <si>
    <t>PMPAKLMMS208BC</t>
  </si>
  <si>
    <t>mpower® 3" 3-wire Module w/ Screw Mount, for use with mpower Arrow Kit, SAE Class 1 &amp; CA Title 13, 9-32 Vdc, Black Housing,  8 LED, Single Color - Blue</t>
  </si>
  <si>
    <t>PMPAKLMMS208GC</t>
  </si>
  <si>
    <t>mpower® 3" 3-wire Module w/ Screw Mount, for use with mpower Arrow Kit, SAE Class 1 &amp; CA Title 13, 9-32 Vdc, Black Housing,  8 LED, Single Color - Green</t>
  </si>
  <si>
    <t>PMPAKLMMS208RC</t>
  </si>
  <si>
    <t>mpower® 3" 3-wire Module w/ Screw Mount, for use with mpower Arrow Kit, SAE Class 1 &amp; CA Title 13, 9-32 Vdc, Black Housing,  8 LED, Single Color - Red</t>
  </si>
  <si>
    <t>PMPAKLMMS208WC</t>
  </si>
  <si>
    <t>mpower® 3" 3-wire Module w/ Screw Mount, for use with mpower Arrow Kit, SAE Class 1 &amp; CA Title 13, 9-32 Vdc, Black Housing,  8 LED, Single Color - White</t>
  </si>
  <si>
    <t>PMPAKLMMT212BAGC</t>
  </si>
  <si>
    <t>mpower® 3" 3-wire Module w/ Screw Mount, for use with mpower Arrow Kit, SAE Class 1 &amp; CA Title 13, 9-32 Vdc, Black Housing, 12 LED, Tricolor - Blue/Amber/Green</t>
  </si>
  <si>
    <t>PMPAKLMMT212BAWC</t>
  </si>
  <si>
    <t>mpower® 3" 3-wire Module w/ Screw Mount, for use with mpower Arrow Kit, SAE Class 1 &amp; CA Title 13, 9-32 Vdc, Black Housing, 12 LED, Tricolor - Blue/Amber/White</t>
  </si>
  <si>
    <t>PMPAKLMMT212BGWC</t>
  </si>
  <si>
    <t>mpower® 3" 3-wire Module w/ Screw Mount, for use with mpower Arrow Kit, SAE Class 1 &amp; CA Title 13, 9-32 Vdc, Black Housing, 12 LED, Tricolor - Blue/Green/White</t>
  </si>
  <si>
    <t>PMPAKLMMT212GAWC</t>
  </si>
  <si>
    <t>mpower® 3" 3-wire Module w/ Screw Mount, for use with mpower Arrow Kit, SAE Class 1 &amp; CA Title 13, 9-32 Vdc, Black Housing, 12 LED, Tricolor - Green/Amber/Whhite</t>
  </si>
  <si>
    <t>PMPAKLMMT212RAGC</t>
  </si>
  <si>
    <t>mpower® 3" 3-wire Module w/ Screw Mount, for use with mpower Arrow Kit, SAE Class 1 &amp; CA Title 13, 9-32 Vdc, Black Housing, 12 LED, Tricolor - Red/Amber/Green</t>
  </si>
  <si>
    <t>PMPAKLMMT212RAWC</t>
  </si>
  <si>
    <t>mpower® 3" 3-wire Module w/ Screw Mount, for use with mpower Arrow Kit, SAE Class 1 &amp; CA Title 13, 9-32 Vdc, Black Housing, 12 LED, Tricolor - Red/Amber/White</t>
  </si>
  <si>
    <t>PMPAKLMMT212RBAC</t>
  </si>
  <si>
    <t>mpower® 3" 3-wire Module w/ Screw Mount, for use with mpower Arrow Kit, SAE Class 1 &amp; CA Title 13, 9-32 Vdc, Black Housing, 12 LED, Tricolor - Red/Blue/Amber</t>
  </si>
  <si>
    <t>PMPAKLMMT212RBGC</t>
  </si>
  <si>
    <t>mpower® 3" 3-wire Module w/ Screw Mount, for use with mpower Arrow Kit, SAE Class 1 &amp; CA Title 13, 9-32 Vdc, Black Housing, 12 LED, Tricolor - Red/Blue/Green</t>
  </si>
  <si>
    <t>PMPAKLMMT212RBWC</t>
  </si>
  <si>
    <t>mpower® 3" 3-wire Module w/ Screw Mount, for use with mpower Arrow Kit, SAE Class 1 &amp; CA Title 13, 9-32 Vdc, Black Housing, 12 LED, Tricolor - Red/Blue/White</t>
  </si>
  <si>
    <t>PMPAKLMMT212RGWC</t>
  </si>
  <si>
    <t>mpower® 3" 3-wire Module w/ Screw Mount, for use with mpower Arrow Kit, SAE Class 1 &amp; CA Title 13, 9-32 Vdc, Black Housing, 12 LED, Tricolor - Red/Green/White</t>
  </si>
  <si>
    <t>PMPAKLMTD208DC</t>
  </si>
  <si>
    <t>mpower® 3" 3-wire Module w/ Stud Mount, for use with mpower Arrow Kit, SAE Class 1 &amp; CA Title 13, 9-32 Vdc, Black Housing, 8 LED, Dual Color - Red/White</t>
  </si>
  <si>
    <t>PMPAKLMTD208EC</t>
  </si>
  <si>
    <t>mpower® 3" 3-wire Module w/ Stud Mount, for use with mpower Arrow Kit, SAE Class 1 &amp; CA Title 13, 9-32 Vdc, Black Housing, 8 LED, Dual Color - Blue/White</t>
  </si>
  <si>
    <t>PMPAKLMTD208FC</t>
  </si>
  <si>
    <t>mpower® 3" 3-wire Module w/ Stud Mount, for use with mpower Arrow Kit, SAE Class 1 &amp; CA Title 13, 9-32 Vdc, Black Housing, 8 LED, Dual Color - Amber/White</t>
  </si>
  <si>
    <t>PMPAKLMTD208HC</t>
  </si>
  <si>
    <t>mpower® 3" 3-wire Module w/ Stud Mount, for use with mpower Arrow Kit, SAE Class 1 &amp; CA Title 13, 9-32 Vdc, Black Housing, 8 LED, Dual Color - Green/White</t>
  </si>
  <si>
    <t>PMPAKLMTD208JC</t>
  </si>
  <si>
    <t>mpower® 3" 3-wire Module w/ Stud Mount, for use with mpower Arrow Kit, SAE Class 1 &amp; CA Title 13, 9-32 Vdc, Black Housing, 8 LED, Dual Color - Red/Blue</t>
  </si>
  <si>
    <t>PMPAKLMTD208KC</t>
  </si>
  <si>
    <t>mpower® 3" 3-wire Module w/ Stud Mount, for use with mpower Arrow Kit, SAE Class 1 &amp; CA Title 13, 9-32 Vdc, Black Housing, 8 LED, Dual Color - Red/Amber</t>
  </si>
  <si>
    <t>PMPAKLMTD208LC</t>
  </si>
  <si>
    <t>mpower® 3" 3-wire Module w/ Stud Mount, for use with mpower Arrow Kit, SAE Class 1 &amp; CA Title 13, 9-32 Vdc, Black Housing, 8 LED, Dual Color - Red/Green</t>
  </si>
  <si>
    <t>PMPAKLMTD208MC</t>
  </si>
  <si>
    <t>mpower® 3" 3-wire Module w/ Stud Mount, for use with mpower Arrow Kit, SAE Class 1 &amp; CA Title 13, 9-32 Vdc, Black Housing, 8 LED, Dual Color - Blue/Amber</t>
  </si>
  <si>
    <t>PMPAKLMTD208NC</t>
  </si>
  <si>
    <t>mpower® 3" 3-wire Module w/ Stud Mount, for use with mpower Arrow Kit, SAE Class 1 &amp; CA Title 13, 9-32 Vdc, Black Housing, 8 LED, Dual Color - Blue/Green</t>
  </si>
  <si>
    <t>PMPAKLMTD208PC</t>
  </si>
  <si>
    <t>mpower® 3" 3-wire Module w/ Stud Mount, for use with mpower Arrow Kit, SAE Class 1 &amp; CA Title 13, 9-32 Vdc, Black Housing, 8 LED, Dual Color - Green/Amber</t>
  </si>
  <si>
    <t>PMPAKLMTS204AC</t>
  </si>
  <si>
    <t>mpower® 3" 3-wire Module w/ Stud Mount, for use with mpower Arrow Kit, SAE Class 1 &amp; CA Title 13, 9-32 Vdc, Black Housing, 4 LED, Single Color - Amber</t>
  </si>
  <si>
    <t>PMPAKLMTS204BC</t>
  </si>
  <si>
    <t>mpower® 3" 3-wire Module w/ Stud Mount, for use with mpower Arrow Kit, SAE Class 1 &amp; CA Title 13, 9-32 Vdc, Black Housing, 4 LED, Single Color - Blue</t>
  </si>
  <si>
    <t>PMPAKLMTS204GC</t>
  </si>
  <si>
    <t>mpower® 3" 3-wire Module w/ Stud Mount, for use with mpower Arrow Kit, SAE Class 1 &amp; CA Title 13, 9-32 Vdc, Black Housing, 4 LED, Single Color - Green</t>
  </si>
  <si>
    <t>PMPAKLMTS204RC</t>
  </si>
  <si>
    <t>mpower® 3" 3-wire Module w/ Stud Mount, for use with mpower Arrow Kit, SAE Class 1 &amp; CA Title 13, 9-32 Vdc, Black Housing, 4 LED, Single Color - Red</t>
  </si>
  <si>
    <t>PMPAKLMTS204WC</t>
  </si>
  <si>
    <t>mpower® 3" 3-wire Module w/ Stud Mount, for use with mpower Arrow Kit, SAE Class 1 &amp; CA Title 13, 9-32 Vdc, Black Housing, 4 LED, Single Color - White</t>
  </si>
  <si>
    <t>PMPAKLMTS208AC</t>
  </si>
  <si>
    <t>mpower® 3" 3-wire Module w/ Stud Mount, for use with mpower Arrow Kit, SAE Class 1 &amp; CA Title 13, 9-32 Vdc, Black Housing, 8 LED, Single Color - Amber</t>
  </si>
  <si>
    <t>PMPAKLMTS208BC</t>
  </si>
  <si>
    <t>mpower® 3" 3-wire Module w/ Stud Mount, for use with mpower Arrow Kit, SAE Class 1 &amp; CA Title 13, 9-32 Vdc, Black Housing, 8 LED, Single Color - Blue</t>
  </si>
  <si>
    <t>PMPAKLMTS208GC</t>
  </si>
  <si>
    <t>mpower® 3" 3-wire Module w/ Stud Mount, for use with mpower Arrow Kit, SAE Class 1 &amp; CA Title 13, 9-32 Vdc, Black Housing, 8 LED, Single Color - Green</t>
  </si>
  <si>
    <t>PMPAKLMTS208RC</t>
  </si>
  <si>
    <t>mpower® 3" 3-wire Module w/ Stud Mount, for use with mpower Arrow Kit, SAE Class 1 &amp; CA Title 13, 9-32 Vdc, Black Housing, 8 LED, Single Color - Red</t>
  </si>
  <si>
    <t>PMPAKLMTS208WC</t>
  </si>
  <si>
    <t>mpower® 3" 3-wire Module w/ Stud Mount, for use with mpower Arrow Kit, SAE Class 1 &amp; CA Title 13, 9-32 Vdc, Black Housing, 8 LED, Single Color - White</t>
  </si>
  <si>
    <t>PMPAKLMTT212BAGC</t>
  </si>
  <si>
    <t>mpower® 3" 3-wire Module w/ Stud Mount, for use with mpower Arrow Kit, SAE Class 1 &amp; CA Title 13, 9-32 Vdc, Black Housing, 12 LED, Tricolor - Blue/Amber/Green</t>
  </si>
  <si>
    <t>PMPAKLMTT212BAWC</t>
  </si>
  <si>
    <t>mpower® 3" 3-wire Module w/ Stud Mount, for use with mpower Arrow Kit, SAE Class 1 &amp; CA Title 13, 9-32 Vdc, Black Housing, 12 LED, Tricolor - Blue/Amber/White</t>
  </si>
  <si>
    <t>PMPAKLMTT212BGWC</t>
  </si>
  <si>
    <t>mpower® 3" 3-wire Module w/ Stud Mount, for use with mpower Arrow Kit, SAE Class 1 &amp; CA Title 13, 9-32 Vdc, Black Housing, 12 LED, Tricolor - Blue/Green/White</t>
  </si>
  <si>
    <t>PMPAKLMTT212GAWC</t>
  </si>
  <si>
    <t>mpower® 3" 3-wire Module w/ Stud Mount, for use with mpower Arrow Kit, SAE Class 1 &amp; CA Title 13, 9-32 Vdc, Black Housing, 12 LED, Tricolor - Green/Amber/White</t>
  </si>
  <si>
    <t>PMPAKLMTT212RAGC</t>
  </si>
  <si>
    <t>mpower® 3" 3-wire Module w/ Stud Mount, for use with mpower Arrow Kit, SAE Class 1 &amp; CA Title 13, 9-32 Vdc, Black Housing, 12 LED, Tricolor - Red/Amber/Green</t>
  </si>
  <si>
    <t>PMPAKLMTT212RAWC</t>
  </si>
  <si>
    <t>mpower® 3" 3-wire Module w/ Stud Mount, for use with mpower Arrow Kit, SAE Class 1 &amp; CA Title 13, 9-32 Vdc, Black Housing, 12 LED, Tricolor - Red/Amber/White</t>
  </si>
  <si>
    <t>PMPAKLMTT212RBAC</t>
  </si>
  <si>
    <t>mpower® 3" 3-wire Module w/ Stud Mount, for use with mpower Arrow Kit, SAE Class 1 &amp; CA Title 13, 9-32 Vdc, Black Housing, 12 LED, Tricolor - Red/Blue/Amber</t>
  </si>
  <si>
    <t>PMPAKLMTT212RBGC</t>
  </si>
  <si>
    <t>mpower® 3" 3-wire Module w/ Stud Mount, for use with mpower Arrow Kit, SAE Class 1 &amp; CA Title 13, 9-32 Vdc, Black Housing, 12 LED, Tricolor - Red/Blue/Green</t>
  </si>
  <si>
    <t>PMPAKLMTT212RBWC</t>
  </si>
  <si>
    <t>mpower® 3" 3-wire Module w/ Stud Mount, for use with mpower Arrow Kit, SAE Class 1 &amp; CA Title 13, 9-32 Vdc, Black Housing, 12 LED, Tricolor - Red/Blue/White</t>
  </si>
  <si>
    <t>PMPAKLMTT212RGWC</t>
  </si>
  <si>
    <t>mpower® 3" 3-wire Module w/ Stud Mount, for use with mpower Arrow Kit, SAE Class 1 &amp; CA Title 13, 9-32 Vdc, Black Housing, 12 LED, Tricolor - Red/Green/White</t>
  </si>
  <si>
    <t>PMPAKLSQD212DC</t>
  </si>
  <si>
    <t>mpower® 4" 3-wire Module w/ Quick Mount, for use with mpower Arrow Kit, SAE Class 1 &amp; CA Title 13, 9-32 Vdc, Black Housing, 12 LED, Dual Color - Red/White</t>
  </si>
  <si>
    <t>PMPAKLSQD212DS</t>
  </si>
  <si>
    <t>mpower® 4" 3-wire Module, Quick Mount, for use with mpower Arrow Kit, Black Housing with Stealth Lens, 12 LED, Dual Color Red/White</t>
  </si>
  <si>
    <t>PMPAKLSQD212EC</t>
  </si>
  <si>
    <t>mpower® 4" 3-wire Module w/ Quick Mount, for use with mpower Arrow Kit, SAE Class 1 &amp; CA Title 13, 9-32 Vdc, Black Housing, 12 LED, Dual Color - Blue/White</t>
  </si>
  <si>
    <t>PMPAKLSQD212ES</t>
  </si>
  <si>
    <t>mpower® 4" 3-wire Module, Quick Mount, for use with mpower Arrow Kit, Black Housing with Stealth Lens, 12 LED, Dual Color Blue/White</t>
  </si>
  <si>
    <t>PMPAKLSQD212FC</t>
  </si>
  <si>
    <t>mpower® 4" 3-wire Module w/ Quick Mount, for use with mpower Arrow Kit, SAE Class 1 &amp; CA Title 13, 9-32 Vdc, Black Housing, 12 LED, Dual Color - Amber/White</t>
  </si>
  <si>
    <t>PMPAKLSQD212FS</t>
  </si>
  <si>
    <t>mpower® 4" 3-wire Module, Quick Mount, for use with mpower Arrow Kit, Black Housing with Stealth Lens, 12 LED, Dual Color Amber/White</t>
  </si>
  <si>
    <t>PMPAKLSQD212HC</t>
  </si>
  <si>
    <t>mpower® 4" 3-wire Module w/ Quick Mount, for use with mpower Arrow Kit, SAE Class 1 &amp; CA Title 13, 9-32 Vdc, Black Housing, 12 LED, Dual Color - Green/White</t>
  </si>
  <si>
    <t>PMPAKLSQD212HS</t>
  </si>
  <si>
    <t>mpower® 4" 3-wire Module, Quick Mount, for use with mpower Arrow Kit, Black Housing with Stealth Lens, 12 LED, Dual Color Green/White</t>
  </si>
  <si>
    <t>PMPAKLSQD212JC</t>
  </si>
  <si>
    <t>mpower® 4" 3-wire Module w/ Quick Mount, for use with mpower Arrow Kit, SAE Class 1 &amp; CA Title 13, 9-32 Vdc, Black Housing, 12 LED, Dual Color - Red/Blue</t>
  </si>
  <si>
    <t>PMPAKLSQD212JS</t>
  </si>
  <si>
    <t>mpower® 4" 3-wire Module, Quick Mount, for use with mpower Arrow Kit, Black Housing with Stealth Lens, 12 LED, Dual Color Red/Blue</t>
  </si>
  <si>
    <t>PMPAKLSQD212KC</t>
  </si>
  <si>
    <t>mpower® 4" 3-wire Module w/ Quick Mount, for use with mpower Arrow Kit, SAE Class 1 &amp; CA Title 13, 9-32 Vdc, Black Housing, 12 LED, Dual Color - Red/Amber</t>
  </si>
  <si>
    <t>PMPAKLSQD212KS</t>
  </si>
  <si>
    <t>mpower® 4" 3-wire Module, Quick Mount, for use with mpower Arrow Kit, Black Housing with Stealth Lens, 12 LED, Dual Color Red/Amber</t>
  </si>
  <si>
    <t>PMPAKLSQD212LC</t>
  </si>
  <si>
    <t>mpower® 4" 3-wire Module w/ Quick Mount, for use with mpower Arrow Kit, SAE Class 1 &amp; CA Title 13, 9-32 Vdc, Black Housing, 12 LED, Dual Color - Red/Green</t>
  </si>
  <si>
    <t>PMPAKLSQD212LS</t>
  </si>
  <si>
    <t>mpower® 4" 3-wire Module, Quick Mount, for use with mpower Arrow Kit, Black Housing with Stealth Lens, 12 LED, Dual Color Red/Green</t>
  </si>
  <si>
    <t>PMPAKLSQD212MC</t>
  </si>
  <si>
    <t>mpower® 4" 3-wire Module w/ Quick Mount, for use with mpower Arrow Kit, SAE Class 1 &amp; CA Title 13, 9-32 Vdc, Black Housing, 12 LED, Dual Color - Amber/Blue</t>
  </si>
  <si>
    <t>PMPAKLSQD212MS</t>
  </si>
  <si>
    <t>mpower® 4" 3-wire Module, Quick Mount, for use with mpower Arrow Kit, Black Housing with Stealth Lens, 12 LED, Dual Color Blue/Amber</t>
  </si>
  <si>
    <t>PMPAKLSQD212NC</t>
  </si>
  <si>
    <t>mpower® 4" 3-wire Module w/ Quick Mount, for use with mpower Arrow Kit, SAE Class 1 &amp; CA Title 13, 9-32 Vdc, Black Housing, 12 LED, Dual Color - Blue/Green</t>
  </si>
  <si>
    <t>PMPAKLSQD212NS</t>
  </si>
  <si>
    <t>mpower® 4" 3-wire Module, Quick Mount, for use with mpower Arrow Kit, Black Housing with Stealth Lens, 12 LED, Dual Color Blue/Green</t>
  </si>
  <si>
    <t>PMPAKLSQD212PC</t>
  </si>
  <si>
    <t>mpower® 4" 3-wire Module w/ Quick Mount, for use with mpower Arrow Kit, SAE Class 1 &amp; CA Title 13, 9-32 Vdc, Black Housing, 12 LED, Dual Color - Green/Amber</t>
  </si>
  <si>
    <t>PMPAKLSQD212PS</t>
  </si>
  <si>
    <t>mpower® 4" 3-wire Module, Quick Mount, for use with mpower Arrow Kit, Black Housing with Stealth Lens, 12 LED, Dual Color Green/Amber</t>
  </si>
  <si>
    <t>PMPAKLSQS206AC</t>
  </si>
  <si>
    <t>mpower® 4" 3-wire Module w/ Quick Mount, for use with mpower Arrow Kit, SAE Class 1 &amp; CA Title 13, 9-32 Vdc, Black Housing, 6 LED, Single Color - Amber</t>
  </si>
  <si>
    <t>PMPAKLSQS206AS</t>
  </si>
  <si>
    <t>mpower® 4" 3-wire Module, Quick Mount, for use with mpower Arrow Kit, Black Housing with Stealth Lens, 6 LED, Single Color Amber</t>
  </si>
  <si>
    <t>PMPAKLSQS206BC</t>
  </si>
  <si>
    <t>mpower® 4" 3-wire Module w/ Quick Mount, for use with mpower Arrow Kit, SAE Class 1 &amp; CA Title 13, 9-32 Vdc, Black Housing, 6 LED, Single Color - Blue</t>
  </si>
  <si>
    <t>PMPAKLSQS206BS</t>
  </si>
  <si>
    <t>mpower® 4" 3-wire Module, Quick Mount, for use with mpower Arrow Kit, Black Housing with Stealth Lens, 6 LED, Single Color Blue</t>
  </si>
  <si>
    <t>PMPAKLSQS206GC</t>
  </si>
  <si>
    <t>mpower® 4" 3-wire Module w/ Quick Mount, for use with mpower Arrow Kit, SAE Class 1 &amp; CA Title 13, 9-32 Vdc, Black Housing, 6 LED, Single Color - Green</t>
  </si>
  <si>
    <t>PMPAKLSQS206GS</t>
  </si>
  <si>
    <t>mpower® 4" 3-wire Module, Quick Mount, for use with mpower Arrow Kit, Black Housing with Stealth Lens, 6 LED, Single Color Green</t>
  </si>
  <si>
    <t>PMPAKLSQS206RC</t>
  </si>
  <si>
    <t>mpower® 4" 3-wire Module w/ Quick Mount, for use with mpower Arrow Kit, SAE Class 1 &amp; CA Title 13, 9-32 Vdc, Black Housing, 6 LED, Single Color - Red</t>
  </si>
  <si>
    <t>PMPAKLSQS206RS</t>
  </si>
  <si>
    <t>mpower® 4" 3-wire Module, Quick Mount, for use with mpower Arrow Kit, Black Housing with Stealth Lens, 6 LED, Single Color Red</t>
  </si>
  <si>
    <t>PMPAKLSQS206WC</t>
  </si>
  <si>
    <t>mpower® 4" 3-wire Module w/ Quick Mount, for use with mpower Arrow Kit, SAE Class 1 &amp; CA Title 13, 9-32 Vdc, Black Housing, 6 LED, Single Color - White</t>
  </si>
  <si>
    <t>PMPAKLSQS206WS</t>
  </si>
  <si>
    <t>mpower® 4" 3-wire Module, Quick Mount, for use with mpower Arrow Kit, Black Housing with Stealth Lens, 6 LED, Single Color White</t>
  </si>
  <si>
    <t>PMPAKLSQS208AC</t>
  </si>
  <si>
    <t>mpower® 4" 3-wire Module w/ Quick Mount, for use with mpower Arrow Kit, SAE Class 1 &amp; CA Title 13, 9-32 Vdc, Black Housing, 8 LED, Single Color - Amber</t>
  </si>
  <si>
    <t>PMPAKLSQS208AS</t>
  </si>
  <si>
    <t>mpower® 4" 3-wire Module, Quick Mount, for use with mpower Arrow Kit, Black Housing with Stealth Lens, 8 LED, Single Color Amber</t>
  </si>
  <si>
    <t>PMPAKLSQS208BC</t>
  </si>
  <si>
    <t>mpower® 4" 3-wire Module w/ Quick Mount, for use with mpower Arrow Kit, SAE Class 1 &amp; CA Title 13, 9-32 Vdc, Black Housing, 8 LED, Single Color - Blue</t>
  </si>
  <si>
    <t>PMPAKLSQS208BS</t>
  </si>
  <si>
    <t>mpower® 4" 3-wire Module, Quick Mount, for use with mpower Arrow Kit, Black Housing with Stealth Lens, 8 LED, Single Color Blue</t>
  </si>
  <si>
    <t>PMPAKLSQS208GC</t>
  </si>
  <si>
    <t>mpower® 4" 3-wire Module w/ Quick Mount, for use with mpower Arrow Kit, SAE Class 1 &amp; CA Title 13, 9-32 Vdc, Black Housing, 8 LED, Single Color - Green</t>
  </si>
  <si>
    <t>PMPAKLSQS208GS</t>
  </si>
  <si>
    <t>mpower® 4" 3-wire Module, Quick Mount, for use with mpower Arrow Kit, Black Housing with Stealth Lens, 8 LED, Single Color Green</t>
  </si>
  <si>
    <t>PMPAKLSQS208RC</t>
  </si>
  <si>
    <t>mpower® 4" 3-wire Module w/ Quick Mount, for use with mpower Arrow Kit, SAE Class 1 &amp; CA Title 13, 9-32 Vdc, Black Housing, 8 LED, Single Color - Red</t>
  </si>
  <si>
    <t>PMPAKLSQS208RS</t>
  </si>
  <si>
    <t>mpower® 4" 3-wire Module, Quick Mount, for use with mpower Arrow Kit, Black Housing with Stealth Lens, 8 LED, Single Color Red</t>
  </si>
  <si>
    <t>PMPAKLSQS208WC</t>
  </si>
  <si>
    <t>mpower® 4" 3-wire Module w/ Quick Mount, for use with mpower Arrow Kit, SAE Class 1 &amp; CA Title 13, 9-32 Vdc, Black Housing, 8 LED, Single Color - White</t>
  </si>
  <si>
    <t>PMPAKLSQS208WS</t>
  </si>
  <si>
    <t>mpower® 4" 3-wire Module, Quick Mount, for use with mpower Arrow Kit, Black Housing with Stealth Lens, 8 LED, Single Color White</t>
  </si>
  <si>
    <t>PMPAKLSQT218BAGC</t>
  </si>
  <si>
    <t>mpower® 4" 3-wire Module w/ Quick Mount, for use with mpower Arrow Kit, SAE Class 1 &amp; CA Title 13, 9-32 Vdc, Black Housing, 18 LED, Tricolor - Blue/Amber/Green</t>
  </si>
  <si>
    <t>PMPAKLSQT218BAGS</t>
  </si>
  <si>
    <t>mpower® 4" 3-wire Module, Quick Mount, for use with mpower Arrow Kit, Black Housing with Stealth Lens, 18 LED, Tricolor Blue/Amber/Green</t>
  </si>
  <si>
    <t>PMPAKLSQT218BAWC</t>
  </si>
  <si>
    <t>mpower® 4" 3-wire Module w/ Quick Mount, for use with mpower Arrow Kit, SAE Class 1 &amp; CA Title 13, 9-32 Vdc, Black Housing, 18 LED, Tricolor - Blue/Amber/White</t>
  </si>
  <si>
    <t>PMPAKLSQT218BAWS</t>
  </si>
  <si>
    <t>mpower® 4" 3-wire Module, Quick Mount, for use with mpower Arrow Kit, Black Housing with Stealth Lens, 18 LED, Tricolor Blue/Amber/White</t>
  </si>
  <si>
    <t>PMPAKLSQT218BGWC</t>
  </si>
  <si>
    <t>mpower® 4" 3-wire Module w/ Quick Mount, for use with mpower Arrow Kit, SAE Class 1 &amp; CA Title 13, 9-32 Vdc, Black Housing, 18 LED, Tricolor - Blue/Green/Whihte</t>
  </si>
  <si>
    <t>PMPAKLSQT218BGWS</t>
  </si>
  <si>
    <t>mpower® 4" 3-wire Module, Quick Mount, for use with mpower Arrow Kit, Black Housing with Stealth Lens, 18 LED, Tricolor Blue/Green/White</t>
  </si>
  <si>
    <t>PMPAKLSQT218GAWC</t>
  </si>
  <si>
    <t>mpower® 4" 3-wire Module w/ Quick Mount, for use with mpower Arrow Kit, SAE Class 1 &amp; CA Title 13, 9-32 Vdc, Black Housing, 18 LED, Tricolor - Green/Amber/White</t>
  </si>
  <si>
    <t>PMPAKLSQT218GAWS</t>
  </si>
  <si>
    <t>mpower® 4" 3-wire Module, Quick Mount, for use with mpower Arrow Kit, Black Housing with Stealth Lens, 18 LED, Tricolor Green/Amber/White</t>
  </si>
  <si>
    <t>PMPAKLSQT218RAGC</t>
  </si>
  <si>
    <t>mpower® 4" 3-wire Module w/ Quick Mount, for use with mpower Arrow Kit, SAE Class 1 &amp; CA Title 13, 9-32 Vdc, Black Housing, 18 LED, Tricolor - Red/Amber/Green</t>
  </si>
  <si>
    <t>PMPAKLSQT218RAGS</t>
  </si>
  <si>
    <t>mpower® 4" 3-wire Module, Quick Mount, for use with mpower Arrow Kit, Black Housing with Stealth Lens, 18 LED, Tricolor Red/Amber/Green</t>
  </si>
  <si>
    <t>PMPAKLSQT218RAWC</t>
  </si>
  <si>
    <t>mpower® 4" 3-wire Module w/ Quick Mount, for use with mpower Arrow Kit, SAE Class 1 &amp; CA Title 13, 9-32 Vdc, Black Housing, 18 LED, Tricolor - Red/Amber/White</t>
  </si>
  <si>
    <t>PMPAKLSQT218RAWS</t>
  </si>
  <si>
    <t>mpower® 4" 3-wire Module, Quick Mount, for use with mpower Arrow Kit, Black Housing with Stealth Lens, 18 LED, Tricolor Red/Amber/White</t>
  </si>
  <si>
    <t>PMPAKLSQT218RBAC</t>
  </si>
  <si>
    <t>mpower® 4" 3-wire Module w/ Quick Mount, for use with mpower Arrow Kit, SAE Class 1 &amp; CA Title 13, 9-32 Vdc, Black Housing, 18 LED, Tricolor - Red/Blue/Amber</t>
  </si>
  <si>
    <t>PMPAKLSQT218RBAS</t>
  </si>
  <si>
    <t>mpower® 4" 3-wire Module, Quick Mount, for use with mpower Arrow Kit, Black Housing with Stealth Lens, 18 LED, Tricolor Red/Blue/Amber</t>
  </si>
  <si>
    <t>PMPAKLSQT218RBGC</t>
  </si>
  <si>
    <t>mpower® 4" 3-wire Module w/ Quick Mount, for use with mpower Arrow Kit, SAE Class 1 &amp; CA Title 13, 9-32 Vdc, Black Housing, 18 LED, Tricolor - Red/Blue/Green</t>
  </si>
  <si>
    <t>PMPAKLSQT218RBGS</t>
  </si>
  <si>
    <t>mpower® 4" 3-wire Module, Quick Mount, for use with mpower Arrow Kit, Black Housing with Stealth Lens, 18 LED, Tricolor Red/Blue/Green</t>
  </si>
  <si>
    <t>PMPAKLSQT218RBWC</t>
  </si>
  <si>
    <t>mpower® 4" 3-wire Module w/ Quick Mount, for use with mpower Arrow Kit, SAE Class 1 &amp; CA Title 13, 9-32 Vdc, Black Housing, 18 LED, Tricolor - Red/Blue/White</t>
  </si>
  <si>
    <t>PMPAKLSQT218RBWS</t>
  </si>
  <si>
    <t>mpower® 4" 3-wire Module, Quick Mount, for use with mpower Arrow Kit, Black Housing with Stealth Lens, 18 LED, Tricolor Red/Blue/White</t>
  </si>
  <si>
    <t>PMPAKLSQT218RGWC</t>
  </si>
  <si>
    <t>mpower® 4" 3-wire Module w/ Quick Mount, for use with mpower Arrow Kit, SAE Class 1 &amp; CA Title 13, 9-32 Vdc, Black Housing, 18 LED, Tricolor - Red/Green/White</t>
  </si>
  <si>
    <t>PMPAKLSQT218RGWS</t>
  </si>
  <si>
    <t>mpower® 4" 3-wire Module, Quick Mount, for use with mpower Arrow Kit, Black Housing with Stealth Lens, 18 LED, Tricolor Red/Green/White</t>
  </si>
  <si>
    <t>PMPAKLSMD212DC</t>
  </si>
  <si>
    <t>mpower® 4" 3-wire Module w/ Screw Mount, for use with mpower Arrow Kit, SAE Class 1 &amp; CA Title 13, 9-32 Vdc, Black Housing, 12 LED, Dual Color - Red/White</t>
  </si>
  <si>
    <t>PMPAKLSMD212DS</t>
  </si>
  <si>
    <t>mpower® 4" 3-wire Module, Surface Mount, for use with mpower Arrow Kit, Black Housing with Stealth Lens, 12 LED, Dual Color Red/White</t>
  </si>
  <si>
    <t>PMPAKLSMD212EC</t>
  </si>
  <si>
    <t>mpower® 4" 3-wire Module w/ Screw Mount, for use with mpower Arrow Kit, SAE Class 1 &amp; CA Title 13, 9-32 Vdc, Black Housing, 12 LED, Dual Color - Blue/White</t>
  </si>
  <si>
    <t>PMPAKLSMD212ES</t>
  </si>
  <si>
    <t>mpower® 4" 3-wire Module, Surface Mount, for use with mpower Arrow Kit, Black Housing with Stealth Lens, 12 LED, Dual Color Blue/White</t>
  </si>
  <si>
    <t>PMPAKLSMD212FC</t>
  </si>
  <si>
    <t>mpower® 4" 3-wire Module w/ Screw Mount, for use with mpower Arrow Kit, SAE Class 1 &amp; CA Title 13, 9-32 Vdc, Black Housing, 12 LED, Dual Color - Amber/White</t>
  </si>
  <si>
    <t>PMPAKLSMD212FS</t>
  </si>
  <si>
    <t>mpower® 4" 3-wire Module, Surface Mount, for use with mpower Arrow Kit, Black Housing with Stealth Lens, 12 LED, Dual Color Amber/White</t>
  </si>
  <si>
    <t>PMPAKLSMD212HC</t>
  </si>
  <si>
    <t>mpower® 4" 3-wire Module w/ Screw Mount, for use with mpower Arrow Kit, SAE Class 1 &amp; CA Title 13, 9-32 Vdc, Black Housing, 12 LED, Dual Color - Green/White</t>
  </si>
  <si>
    <t>PMPAKLSMD212HS</t>
  </si>
  <si>
    <t>mpower® 4" 3-wire Module, Surface Mount, for use with mpower Arrow Kit, Black Housing with Stealth Lens, 12 LED, Dual Color Green/White</t>
  </si>
  <si>
    <t>PMPAKLSMD212JC</t>
  </si>
  <si>
    <t>mpower® 4" 3-wire Module w/ Screw Mount, for use with mpower Arrow Kit, SAE Class 1 &amp; CA Title 13, 9-32 Vdc, Black Housing, 12 LED, Dual Color - Red/Blue</t>
  </si>
  <si>
    <t>PMPAKLSMD212JS</t>
  </si>
  <si>
    <t>mpower® 4" 3-wire Module, Surface Mount, for use with mpower Arrow Kit, Black Housing with Stealth Lens, 12 LED, Dual Color Red/Blue</t>
  </si>
  <si>
    <t>PMPAKLSMD212KC</t>
  </si>
  <si>
    <t>mpower® 4" 3-wire Module w/ Screw Mount, for use with mpower Arrow Kit, SAE Class 1 &amp; CA Title 13, 9-32 Vdc, Black Housing, 12 LED, Dual Color - Red/Amber</t>
  </si>
  <si>
    <t>PMPAKLSMD212KS</t>
  </si>
  <si>
    <t>mpower® 4" 3-wire Module, Surface Mount, for use with mpower Arrow Kit, Black Housing with Stealth Lens, 12 LED, Dual Color Red/Amber</t>
  </si>
  <si>
    <t>PMPAKLSMD212LC</t>
  </si>
  <si>
    <t>mpower® 4" 3-wire Module w/ Screw Mount, for use with mpower Arrow Kit, SAE Class 1 &amp; CA Title 13, 9-32 Vdc, Black Housing, 12 LED, Dual Color - Red/Green</t>
  </si>
  <si>
    <t>PMPAKLSMD212LS</t>
  </si>
  <si>
    <t>mpower® 4" 3-wire Module, Surface Mount, for use with mpower Arrow Kit, Black Housing with Stealth Lens, 12 LED, Dual Color Red/Green</t>
  </si>
  <si>
    <t>PMPAKLSMD212MC</t>
  </si>
  <si>
    <t>mpower® 4" 3-wire Module w/ Screw Mount, for use with mpower Arrow Kit, SAE Class 1 &amp; CA Title 13, 9-32 Vdc, Black Housing, 12 LED, Dual Color - Amber/Blue</t>
  </si>
  <si>
    <t>PMPAKLSMD212MS</t>
  </si>
  <si>
    <t>mpower® 4" 3-wire Module, Surface Mount, for use with mpower Arrow Kit, Black Housing with Stealth Lens, 12 LED, Dual Color Blue/Amber</t>
  </si>
  <si>
    <t>PMPAKLSMD212NC</t>
  </si>
  <si>
    <t>mpower® 4" 3-wire Module w/ Screw Mount, for use with mpower Arrow Kit, SAE Class 1 &amp; CA Title 13, 9-32 Vdc, Black Housing, 12 LED, Dual Color - Blue/Green</t>
  </si>
  <si>
    <t>PMPAKLSMD212NS</t>
  </si>
  <si>
    <t>mpower® 4" 3-wire Module, Surface Mount, for use with mpower Arrow Kit, Black Housing with Stealth Lens, 12 LED, Dual Color Blue/Green</t>
  </si>
  <si>
    <t>PMPAKLSMD212PC</t>
  </si>
  <si>
    <t>mpower® 4" 3-wire Module w/ Screw Mount, for use with mpower Arrow Kit, SAE Class 1 &amp; CA Title 13, 9-32 Vdc, Black Housing, 12 LED, Dual Color - Green/Amber</t>
  </si>
  <si>
    <t>PMPAKLSMD212PS</t>
  </si>
  <si>
    <t>mpower® 4" 3-wire Module, Surface Mount, for use with mpower Arrow Kit, Black Housing with Stealth Lens, 12 LED, Dual Color Green/Amber</t>
  </si>
  <si>
    <t>PMPAKLSMS206AC</t>
  </si>
  <si>
    <t>mpower® 4" 3-wire Module w/ Screw Mount, for use with mpower Arrow Kit, SAE Class 1 &amp; CA Title 13, 9-32 Vdc, Black Housing, 6 LED, Single Color - Amber</t>
  </si>
  <si>
    <t>PMPAKLSMS206AS</t>
  </si>
  <si>
    <t>mpower® 4" 3-wire Module, Surface Mount, for use with mpower Arrow Kit, Black Housing with Stealth Lens, 6 LED, Single Color Amber</t>
  </si>
  <si>
    <t>PMPAKLSMS206BC</t>
  </si>
  <si>
    <t>mpower® 4" 3-wire Module w/ Screw Mount, for use with mpower Arrow Kit, SAE Class 1 &amp; CA Title 13, 9-32 Vdc, Black Housing, 6 LED, Single Color - Blue</t>
  </si>
  <si>
    <t>PMPAKLSMS206BS</t>
  </si>
  <si>
    <t>mpower® 4" 3-wire Module, Surface Mount, for use with mpower Arrow Kit, Black Housing with Stealth Lens, 6 LED, Single Color Blue</t>
  </si>
  <si>
    <t>PMPAKLSMS206GC</t>
  </si>
  <si>
    <t>mpower® 4" 3-wire Module w/ Screw Mount, for use with mpower Arrow Kit, SAE Class 1 &amp; CA Title 13, 9-32 Vdc, Black Housing, 6 LED, Single Color - Green</t>
  </si>
  <si>
    <t>PMPAKLSMS206GS</t>
  </si>
  <si>
    <t>mpower® 4" 3-wire Module, Surface Mount, for use with mpower Arrow Kit, Black Housing with Stealth Lens, 6 LED, Single Color Green</t>
  </si>
  <si>
    <t>PMPAKLSMS206RC</t>
  </si>
  <si>
    <t>mpower® 4" 3-wire Module w/ Screw Mount, for use with mpower Arrow Kit, SAE Class 1 &amp; CA Title 13, 9-32 Vdc, Black Housing, 6 LED, Single Color - Red</t>
  </si>
  <si>
    <t>PMPAKLSMS206RS</t>
  </si>
  <si>
    <t>mpower® 4" 3-wire Module, Surface Mount, for use with mpower Arrow Kit, Black Housing with Stealth Lens, 6 LED, Single Color Red</t>
  </si>
  <si>
    <t>PMPAKLSMS206WC</t>
  </si>
  <si>
    <t>mpower® 4" 3-wire Module w/ Screw Mount, for use with mpower Arrow Kit, SAE Class 1 &amp; CA Title 13, 9-32 Vdc, Black Housing, 6 LED, Single Color - White</t>
  </si>
  <si>
    <t>PMPAKLSMS206WS</t>
  </si>
  <si>
    <t>mpower® 4" 3-wire Module, Surface Mount, for use with mpower Arrow Kit, Black Housing with Stealth Lens, 6 LED, Single Color White</t>
  </si>
  <si>
    <t>PMPAKLSMS208AC</t>
  </si>
  <si>
    <t>mpower® 4" 3-wire Module w/ Screw Mount, for use with mpower Arrow Kit, SAE Class 1 &amp; CA Title 13, 9-32 Vdc, Black Housing, 8 LED, Single Color - Amber</t>
  </si>
  <si>
    <t>PMPAKLSMS208AS</t>
  </si>
  <si>
    <t>mpower® 4" 3-wire Module, Surface Mount, for use with mpower Arrow Kit, Black Housing with Stealth Lens, 8 LED, Single Color Amber</t>
  </si>
  <si>
    <t>PMPAKLSMS208BC</t>
  </si>
  <si>
    <t>mpower® 4" 3-wire Module w/ Screw Mount, for use with mpower Arrow Kit, SAE Class 1 &amp; CA Title 13, 9-32 Vdc, Black Housing, 8 LED, Single Color - Blue</t>
  </si>
  <si>
    <t>PMPAKLSMS208BS</t>
  </si>
  <si>
    <t>mpower® 4" 3-wire Module, Surface Mount, for use with mpower Arrow Kit, Black Housing with Stealth Lens, 8 LED, Single Color Blue</t>
  </si>
  <si>
    <t>PMPAKLSMS208GC</t>
  </si>
  <si>
    <t>mpower® 4" 3-wire Module w/ Screw Mount, for use with mpower Arrow Kit, SAE Class 1 &amp; CA Title 13, 9-32 Vdc, Black Housing, 8 LED, Single Color - Green</t>
  </si>
  <si>
    <t>PMPAKLSMS208GS</t>
  </si>
  <si>
    <t>mpower® 4" 3-wire Module, Surface Mount, for use with mpower Arrow Kit, Black Housing with Stealth Lens, 8 LED, Single Color Green</t>
  </si>
  <si>
    <t>PMPAKLSMS208RC</t>
  </si>
  <si>
    <t>mpower® 4" 3-wire Module w/ Screw Mount, for use with mpower Arrow Kit, SAE Class 1 &amp; CA Title 13, 9-32 Vdc, Black Housing, 8 LED, Single Color - Red</t>
  </si>
  <si>
    <t>PMPAKLSMS208RS</t>
  </si>
  <si>
    <t>mpower® 4" 3-wire Module, Surface Mount, for use with mpower Arrow Kit, Black Housing with Stealth Lens, 8 LED, Single Color Red</t>
  </si>
  <si>
    <t>PMPAKLSMS208WC</t>
  </si>
  <si>
    <t>mpower® 4" 3-wire Module w/ Screw Mount, for use with mpower Arrow Kit, SAE Class 1 &amp; CA Title 13, 9-32 Vdc, Black Housing, 8 LED, Single Color - White</t>
  </si>
  <si>
    <t>PMPAKLSMS208WS</t>
  </si>
  <si>
    <t>mpower® 4" 3-wire Module, Surface Mount, for use with mpower Arrow Kit, Black Housing with Stealth Lens, 8 LED, Single Color White</t>
  </si>
  <si>
    <t>PMPAKLSMT218BAGC</t>
  </si>
  <si>
    <t>mpower® 4" 3-wire Module w/ Screw Mount, for use with mpower Arrow Kit, SAE Class 1 &amp; CA Title 13, 9-32 Vdc, Black Housing, 12 LED, Tricolor - Blue/Amber/Green</t>
  </si>
  <si>
    <t>PMPAKLSMT218BAGS</t>
  </si>
  <si>
    <t>mpower® 4" 3-wire Module, Surface Mount, for use with mpower Arrow Kit, Black Housing with Stealth Lens, 18 LED, Tricolor Blue/Amber/Green</t>
  </si>
  <si>
    <t>PMPAKLSMT218BAWC</t>
  </si>
  <si>
    <t>mpower® 4" 3-wire Module w/ Screw Mount, for use with mpower Arrow Kit, SAE Class 1 &amp; CA Title 13, 9-32 Vdc, Black Housing, 12 LED, Tricolor - Blue/Amber/White</t>
  </si>
  <si>
    <t>PMPAKLSMT218BAWS</t>
  </si>
  <si>
    <t>mpower® 4" 3-wire Module, Surface Mount, for use with mpower Arrow Kit, Black Housing with Stealth Lens, 18 LED, Tricolor Blue/Amber/White</t>
  </si>
  <si>
    <t>PMPAKLSMT218BGWC</t>
  </si>
  <si>
    <t>mpower® 4" 3-wire Module w/ Screw Mount, for use with mpower Arrow Kit, SAE Class 1 &amp; CA Title 13, 9-32 Vdc, Black Housing, 12 LED, Tricolor - Blue/Green/White</t>
  </si>
  <si>
    <t>PMPAKLSMT218BGWS</t>
  </si>
  <si>
    <t>mpower® 4" 3-wire Module, Surface Mount, for use with mpower Arrow Kit, Black Housing with Stealth Lens, 18 LED, Tricolor Blue/Green/White</t>
  </si>
  <si>
    <t>PMPAKLSMT218GAWC</t>
  </si>
  <si>
    <t>mpower® 4" 3-wire Module w/ Screw Mount, for use with mpower Arrow Kit, SAE Class 1 &amp; CA Title 13, 9-32 Vdc, Black Housing, 12 LED, Tricolor - Green/Amber/White</t>
  </si>
  <si>
    <t>PMPAKLSMT218GAWS</t>
  </si>
  <si>
    <t>mpower® 4" 3-wire Module, Surface Mount, for use with mpower Arrow Kit, Black Housing with Stealth Lens, 18 LED, Tricolor Green/Amber/White</t>
  </si>
  <si>
    <t>PMPAKLSMT218RAGC</t>
  </si>
  <si>
    <t>mpower® 4" 3-wire Module w/ Screw Mount, for use with mpower Arrow Kit, SAE Class 1 &amp; CA Title 13, 9-32 Vdc, Black Housing, 12 LED, Tricolor - Red/Amber/Green</t>
  </si>
  <si>
    <t>PMPAKLSMT218RAGS</t>
  </si>
  <si>
    <t>mpower® 4" 3-wire Module, Surface Mount, for use with mpower Arrow Kit, Black Housing with Stealth Lens, 18 LED, Tricolor Red/Amber/Green</t>
  </si>
  <si>
    <t>PMPAKLSMT218RAWC</t>
  </si>
  <si>
    <t>mpower® 4" 3-wire Module w/ Screw Mount, for use with mpower Arrow Kit, SAE Class 1 &amp; CA Title 13, 9-32 Vdc, Black Housing, 12 LED, Tricolor - Red/Amber/White</t>
  </si>
  <si>
    <t>PMPAKLSMT218RAWS</t>
  </si>
  <si>
    <t>mpower® 4" 3-wire Module, Surface Mount, for use with mpower Arrow Kit, Black Housing with Stealth Lens, 18 LED, Tricolor Red/Amber/White</t>
  </si>
  <si>
    <t>PMPAKLSMT218RBAC</t>
  </si>
  <si>
    <t>mpower® 4" 3-wire Module w/ Screw Mount, for use with mpower Arrow Kit, SAE Class 1 &amp; CA Title 13, 9-32 Vdc, Black Housing, 12 LED, Tricolor - Red/Blue/Amber</t>
  </si>
  <si>
    <t>PMPAKLSMT218RBAS</t>
  </si>
  <si>
    <t>mpower® 4" 3-wire Module, Surface Mount, for use with mpower Arrow Kit, Black Housing with Stealth Lens, 18 LED, Tricolor Red/Blue/Amber</t>
  </si>
  <si>
    <t>PMPAKLSMT218RBGC</t>
  </si>
  <si>
    <t>mpower® 4" 3-wire Module w/ Screw Mount, for use with mpower Arrow Kit, SAE Class 1 &amp; CA Title 13, 9-32 Vdc, Black Housing, 12 LED, Tricolor - Red/Blue/Green</t>
  </si>
  <si>
    <t>PMPAKLSMT218RBGS</t>
  </si>
  <si>
    <t>mpower® 4" 3-wire Module, Surface Mount, for use with mpower Arrow Kit, Black Housing with Stealth Lens, 18 LED, Tricolor Red/Blue/Green</t>
  </si>
  <si>
    <t>PMPAKLSMT218RBWC</t>
  </si>
  <si>
    <t>mpower® 4" 3-wire Module w/ Screw Mount, for use with mpower Arrow Kit, SAE Class 1 &amp; CA Title 13, 9-32 Vdc, Black Housing, 12 LED, Tricolor - Red/Blue/White</t>
  </si>
  <si>
    <t>PMPAKLSMT218RBWS</t>
  </si>
  <si>
    <t>mpower® 4" 3-wire Module, Surface Mount, for use with mpower Arrow Kit, Black Housing with Stealth Lens, 18 LED, Tricolor Red/Blue/White</t>
  </si>
  <si>
    <t>PMPAKLSMT218RGWC</t>
  </si>
  <si>
    <t>mpower® 4" 3-wire Module w/ Screw Mount, for use with mpower Arrow Kit, SAE Class 1 &amp; CA Title 13, 9-32 Vdc, Black Housing, 12 LED, Tricolor - Red/Green/White</t>
  </si>
  <si>
    <t>PMPAKLSMT218RGWS</t>
  </si>
  <si>
    <t>mpower® 4" 3-wire Module, Surface Mount, for use with mpower Arrow Kit, Black Housing with Stealth Lens, 18 LED, Tricolor Red/Green/White</t>
  </si>
  <si>
    <t>PMPAKLSD212K</t>
  </si>
  <si>
    <t>mpower® 4" 3-Wire Light w/ Stud Mount, for use with mpower Arrow Kit, SAE Class 1 &amp; CA Title 13, 9-32 Vdc, Black Housing, 12 LED, Dual Color - Red/Amber</t>
  </si>
  <si>
    <t>PMPAKLST218RBA</t>
  </si>
  <si>
    <t>mpower® 4" 3-Wire Light w/ Stud Mount, for use with mpower Arrow Kit, SAE Class 1 &amp; CA Title 13, 9-32 Vdc, Black Housing, 18 LED, Tricolor - Red/Blue/Amber</t>
  </si>
  <si>
    <t>PMPAKLST218RBW</t>
  </si>
  <si>
    <t>mpower® 4" 3-Wire Light w/ Stud Mount, for use with mpower Arrow Kit, SAE Class 1 &amp; CA Title 13, 9-32 Vdc, Black Housing, 18 LED, Tricolor - Red/Blue/White</t>
  </si>
  <si>
    <t>PMPAKLSTD212DC</t>
  </si>
  <si>
    <t>mpower® 4" 3-Wire Module w/ Stud Mount, for use with mpower Arrow Kit, SAE Class 1 &amp; CA Title 13, 9-32 Vdc, Black Housing, 12 LED, Dual Color - Red/White</t>
  </si>
  <si>
    <t>PMPAKLSTD212DS</t>
  </si>
  <si>
    <t>mpower® 4" 3-wire Module, Stud Mount, for use with mpower Arrow Kit, Black Housing with Stealth Lens, 12 LED, Dual Color Red/White</t>
  </si>
  <si>
    <t>PMPAKLSTD212EC</t>
  </si>
  <si>
    <t>mpower® 4" 3-Wire Module w/ Stud Mount, for use with mpower Arrow Kit, SAE Class 1 &amp; CA Title 13, 9-32 Vdc, Black Housing, 12 LED, Dual Color - Blue/White</t>
  </si>
  <si>
    <t>PMPAKLSTD212ES</t>
  </si>
  <si>
    <t>mpower® 4" 3-wire Module, Stud Mount, for use with mpower Arrow Kit, Black Housing with Stealth Lens, 12 LED, Dual Color Blue/White</t>
  </si>
  <si>
    <t>PMPAKLSTD212FC</t>
  </si>
  <si>
    <t>mpower® 4" 3-Wire Module w/ Stud Mount, for use with mpower Arrow Kit, SAE Class 1 &amp; CA Title 13, 9-32 Vdc, Black Housing, 12 LED, Dual Color - Amber/White</t>
  </si>
  <si>
    <t>PMPAKLSTD212FS</t>
  </si>
  <si>
    <t>mpower® 4" 3-wire Module, Stud Mount, for use with mpower Arrow Kit, Black Housing with Stealth Lens, 12 LED, Dual Color Amber/White</t>
  </si>
  <si>
    <t>PMPAKLSTD212HC</t>
  </si>
  <si>
    <t>mpower® 4" 3-Wire Module w/ Stud Mount, for use with mpower Arrow Kit, SAE Class 1 &amp; CA Title 13, 9-32 Vdc, Black Housing, 12 LED, Dual Color - Green/White</t>
  </si>
  <si>
    <t>PMPAKLSTD212HS</t>
  </si>
  <si>
    <t>mpower® 4" 3-wire Module, Stud Mount, for use with mpower Arrow Kit, Black Housing with Stealth Lens, 12 LED, Dual Color Green/White</t>
  </si>
  <si>
    <t>PMPAKLSTD212JC</t>
  </si>
  <si>
    <t>mpower® 4" 3-Wire Module w/ Stud Mount, for use with mpower Arrow Kit, SAE Class 1 &amp; CA Title 13, 9-32 Vdc, Black Housing, 12 LED, Dual Color - Red/Blue</t>
  </si>
  <si>
    <t>PMPAKLSTD212JS</t>
  </si>
  <si>
    <t>mpower® 4" 3-wire Module, Stud Mount, for use with mpower Arrow Kit, Black Housing with Stealth Lens, 12 LED, Dual Color Red/Blue</t>
  </si>
  <si>
    <t>PMPAKLSTD212KC</t>
  </si>
  <si>
    <t>mpower® 4" 3-Wire Module w/ Stud Mount, for use with mpower Arrow Kit, SAE Class 1 &amp; CA Title 13, 9-32 Vdc, Black Housing, 12 LED, Dual Color - Red/Amber</t>
  </si>
  <si>
    <t>PMPAKLSTD212KS</t>
  </si>
  <si>
    <t>mpower® 4" 3-wire Module, Stud Mount, for use with mpower Arrow Kit, Black Housing with Stealth Lens, 12 LED, Dual Color Red/Amber</t>
  </si>
  <si>
    <t>PMPAKLSTD212LC</t>
  </si>
  <si>
    <t>mpower® 4" 3-Wire Module w/ Stud Mount, for use with mpower Arrow Kit, SAE Class 1 &amp; CA Title 13, 9-32 Vdc, Black Housing, 12 LED, Dual Color - Red/Green</t>
  </si>
  <si>
    <t>PMPAKLSTD212LS</t>
  </si>
  <si>
    <t>mpower® 4" 3-wire Module, Stud Mount, for use with mpower Arrow Kit, Black Housing with Stealth Lens, 12 LED, Dual Color Red/Green</t>
  </si>
  <si>
    <t>PMPAKLSTD212MC</t>
  </si>
  <si>
    <t>mpower® 4" 3-Wire Module w/ Stud Mount, for use with mpower Arrow Kit, SAE Class 1 &amp; CA Title 13, 9-32 Vdc, Black Housing, 12 LED, Dual Color - Amber/Blue</t>
  </si>
  <si>
    <t>PMPAKLSTD212MS</t>
  </si>
  <si>
    <t>mpower® 4" 3-wire Module, Stud Mount, for use with mpower Arrow Kit, Black Housing with Stealth Lens, 12 LED, Dual Color Blue/Amber</t>
  </si>
  <si>
    <t>PMPAKLSTD212NC</t>
  </si>
  <si>
    <t>mpower® 4" 3-Wire Module w/ Stud Mount, for use with mpower Arrow Kit, SAE Class 1 &amp; CA Title 13, 9-32 Vdc, Black Housing, 12 LED, Dual Color - Blue/Green</t>
  </si>
  <si>
    <t>PMPAKLSTD212NS</t>
  </si>
  <si>
    <t>mpower® 4" 3-wire Module, Stud Mount, for use with mpower Arrow Kit, Black Housing with Stealth Lens, 12 LED, Dual Color Blue/Green</t>
  </si>
  <si>
    <t>PMPAKLSTD212PC</t>
  </si>
  <si>
    <t>mpower® 4" 3-Wire Module w/ Stud Mount, for use with mpower Arrow Kit, SAE Class 1 &amp; CA Title 13, 9-32 Vdc, Black Housing, 12 LED, Dual Color - Green/Amber</t>
  </si>
  <si>
    <t>PMPAKLSTD212PS</t>
  </si>
  <si>
    <t>mpower® 4" 3-wire Module, Stud Mount, for use with mpower Arrow Kit, Black Housing with Stealth Lens, 12 LED, Dual Color Green/Amber</t>
  </si>
  <si>
    <t>PMPAKLSTS206AC</t>
  </si>
  <si>
    <t>mpower® 4" 3-Wire Module w/ Stud Mount, for use with mpower Arrow Kit, SAE Class 1 &amp; CA Title 13, 9-32 Vdc, Black Housing, 6 LED, Single Color - Amber</t>
  </si>
  <si>
    <t>PMPAKLSTS206AS</t>
  </si>
  <si>
    <t>mpower® 4" 3-wire Module, Stud Mount, for use with mpower Arrow Kit, Black Housing with Stealth Lens, 6 LED, Single Color Amber</t>
  </si>
  <si>
    <t>PMPAKLSTS206BC</t>
  </si>
  <si>
    <t>mpower® 4" 3-Wire Module w/ Stud Mount, for use with mpower Arrow Kit, SAE Class 1 &amp; CA Title 13, 9-32 Vdc, Black Housing, 6 LED, Single Color - Blue</t>
  </si>
  <si>
    <t>PMPAKLSTS206BS</t>
  </si>
  <si>
    <t>mpower® 4" 3-wire Module, Stud Mount, for use with mpower Arrow Kit, Black Housing with Stealth Lens, 6 LED, Single Color Blue</t>
  </si>
  <si>
    <t>PMPAKLSTS206GC</t>
  </si>
  <si>
    <t>mpower® 4" 3-Wire Module w/ Stud Mount, for use with mpower Arrow Kit, SAE Class 1 &amp; CA Title 13, 9-32 Vdc, Black Housing, 6 LED, Single Color - Green</t>
  </si>
  <si>
    <t>PMPAKLSTS206GS</t>
  </si>
  <si>
    <t>mpower® 4" 3-wire Module, Stud Mount, for use with mpower Arrow Kit, Black Housing with Stealth Lens, 6 LED, Single Color Green</t>
  </si>
  <si>
    <t>PMPAKLSTS206RC</t>
  </si>
  <si>
    <t>mpower® 4" 3-Wire Module w/ Stud Mount, for use with mpower Arrow Kit, SAE Class 1 &amp; CA Title 13, 9-32 Vdc, Black Housing, 6 LED, Single Color - Red</t>
  </si>
  <si>
    <t>PMPAKLSTS206RS</t>
  </si>
  <si>
    <t>mpower® 4" 3-wire Module, Stud Mount, for use with mpower Arrow Kit, Black Housing with Stealth Lens, 6 LED, Single Color Red</t>
  </si>
  <si>
    <t>PMPAKLSTS206WC</t>
  </si>
  <si>
    <t>mpower® 4" 3-Wire Module w/ Stud Mount, for use with mpower Arrow Kit, SAE Class 1 &amp; CA Title 13, 9-32 Vdc, Black Housing, 6 LED, Single Color - White</t>
  </si>
  <si>
    <t>PMPAKLSTS206WS</t>
  </si>
  <si>
    <t>mpower® 4" 3-wire Module, Stud Mount, for use with mpower Arrow Kit, Black Housing with Stealth Lens, 6 LED, Single Color White</t>
  </si>
  <si>
    <t>PMPAKLSTS208AC</t>
  </si>
  <si>
    <t>mpower® 4" 3-Wire Module w/ Stud Mount, for use with mpower Arrow Kit, SAE Class 1 &amp; CA Title 13, 9-32 Vdc, Black Housing, 8 LED, Single Color - Amber</t>
  </si>
  <si>
    <t>PMPAKLSTS208AS</t>
  </si>
  <si>
    <t>mpower® 4" 3-wire Module, Stud Mount, for use with mpower Arrow Kit, Black Housing with Stealth Lens, 8 LED, Single Color Amber</t>
  </si>
  <si>
    <t>PMPAKLSTS208BC</t>
  </si>
  <si>
    <t>mpower® 4" 3-Wire Module w/ Stud Mount, for use with mpower Arrow Kit, SAE Class 1 &amp; CA Title 13, 9-32 Vdc, Black Housing, 8 LED, Single Color - Blue</t>
  </si>
  <si>
    <t>PMPAKLSTS208BS</t>
  </si>
  <si>
    <t>mpower® 4" 3-wire Module, Stud Mount, for use with mpower Arrow Kit, Black Housing with Stealth Lens, 8 LED, Single Color Blue</t>
  </si>
  <si>
    <t>PMPAKLSTS208GC</t>
  </si>
  <si>
    <t>mpower® 4" 3-Wire Module w/ Stud Mount, for use with mpower Arrow Kit, SAE Class 1 &amp; CA Title 13, 9-32 Vdc, Black Housing, 8 LED, Single Color - Green</t>
  </si>
  <si>
    <t>PMPAKLSTS208GS</t>
  </si>
  <si>
    <t>mpower® 4" 3-wire Module, Stud Mount, for use with mpower Arrow Kit, Black Housing with Stealth Lens, 8 LED, Single Color Green</t>
  </si>
  <si>
    <t>PMPAKLSTS208RC</t>
  </si>
  <si>
    <t>mpower® 4" 3-Wire Module w/ Stud Mount, for use with mpower Arrow Kit, SAE Class 1 &amp; CA Title 13, 9-32 Vdc, Black Housing, 8 LED, Single Color - Red</t>
  </si>
  <si>
    <t>PMPAKLSTS208RS</t>
  </si>
  <si>
    <t>mpower® 4" 3-wire Module, Stud Mount, for use with mpower Arrow Kit, Black Housing with Stealth Lens, 8 LED, Single Color Red</t>
  </si>
  <si>
    <t>PMPAKLSTS208WC</t>
  </si>
  <si>
    <t>mpower® 4" 3-Wire Module w/ Stud Mount, for use with mpower Arrow Kit, SAE Class 1 &amp; CA Title 13, 9-32 Vdc, Black Housing, 8 LED, Single Color - White</t>
  </si>
  <si>
    <t>PMPAKLSTS208WS</t>
  </si>
  <si>
    <t>mpower® 4" 3-wire Module, Stud Mount, for use with mpower Arrow Kit, Black Housing with Stealth Lens, 8 LED, Single Color White</t>
  </si>
  <si>
    <t>PMPAKLSTT218BAGC</t>
  </si>
  <si>
    <t>mpower® 4" 3-Wire Module w/ Stud Mount, for use with mpower Arrow Kit, SAE Class 1 &amp; CA Title 13, 9-32 Vdc, Black Housing, 18 LED, Tricolor - Blue/Amber/Green</t>
  </si>
  <si>
    <t>PMPAKLSTT218BAGS</t>
  </si>
  <si>
    <t>mpower® 4" 3-wire Module, Stud Mount, for use with mpower Arrow Kit, Black Housing with Stealth Lens, 18 LED, Tricolor Blue/Amber/Green</t>
  </si>
  <si>
    <t>PMPAKLSTT218BAWC</t>
  </si>
  <si>
    <t>mpower® 4" 3-Wire Module w/ Stud Mount, for use with mpower Arrow Kit, SAE Class 1 &amp; CA Title 13, 9-32 Vdc, Black Housing, 18 LED, Tricolor - Blue/Amber/White</t>
  </si>
  <si>
    <t>PMPAKLSTT218BAWS</t>
  </si>
  <si>
    <t>mpower® 4" 3-wire Module, Stud Mount, for use with mpower Arrow Kit, Black Housing with Stealth Lens, 18 LED, Tricolor Blue/Amber/White</t>
  </si>
  <si>
    <t>PMPAKLSTT218BGWC</t>
  </si>
  <si>
    <t>mpower® 4" 3-Wire Module w/ Stud Mount, for use with mpower Arrow Kit, SAE Class 1 &amp; CA Title 13, 9-32 Vdc, Black Housing, 18 LED, Tricolor - Blue/Green/White</t>
  </si>
  <si>
    <t>PMPAKLSTT218BGWS</t>
  </si>
  <si>
    <t>mpower® 4" 3-wire Module, Stud Mount, for use with mpower Arrow Kit, Black Housing with Stealth Lens, 18 LED, Tricolor Blue/Green/White</t>
  </si>
  <si>
    <t>PMPAKLSTT218GAWC</t>
  </si>
  <si>
    <t>mpower® 4" 3-Wire Module w/ Stud Mount, for use with mpower Arrow Kit, SAE Class 1 &amp; CA Title 13, 9-32 Vdc, Black Housing, 18 LED, Tricolor - Green/Amber/White</t>
  </si>
  <si>
    <t>PMPAKLSTT218GAWS</t>
  </si>
  <si>
    <t>mpower® 4" 3-wire Module, Stud Mount, for use with mpower Arrow Kit, Black Housing with Stealth Lens, 18 LED, Tricolor Green/Amber/White</t>
  </si>
  <si>
    <t>PMPAKLSTT218RAGC</t>
  </si>
  <si>
    <t>mpower® 4" 3-Wire Module w/ Stud Mount, for use with mpower Arrow Kit, SAE Class 1 &amp; CA Title 13, 9-32 Vdc, Black Housing, 18 LED, Tricolor - Red/Amber/Green</t>
  </si>
  <si>
    <t>PMPAKLSTT218RAGS</t>
  </si>
  <si>
    <t>mpower® 4" 3-wire Module, Stud Mount, for use with mpower Arrow Kit, Black Housing with Stealth Lens, 18 LED, Tricolor Red/Amber/Green</t>
  </si>
  <si>
    <t>PMPAKLSTT218RAWC</t>
  </si>
  <si>
    <t>mpower® 4" 3-Wire Module w/ Stud Mount, for use with mpower Arrow Kit, SAE Class 1 &amp; CA Title 13, 9-32 Vdc, Black Housing, 18 LED, Tricolor - Red/Amber/Whihte</t>
  </si>
  <si>
    <t>PMPAKLSTT218RAWS</t>
  </si>
  <si>
    <t>mpower® 4" 3-wire Module, Stud Mount, for use with mpower Arrow Kit, Black Housing with Stealth Lens, 18 LED, Tricolor Red/Amber/White</t>
  </si>
  <si>
    <t>PMPAKLSTT218RBAC</t>
  </si>
  <si>
    <t>mpower® 4" 3-Wire Module w/ Stud Mount, for use with mpower Arrow Kit, SAE Class 1 &amp; CA Title 13, 9-32 Vdc, Black Housing, 18 LED, Tricolor - Red/Blue/Amber</t>
  </si>
  <si>
    <t>PMPAKLSTT218RBAS</t>
  </si>
  <si>
    <t>mpower® 4" 3-wire Module, Stud Mount, for use with mpower Arrow Kit, Black Housing with Stealth Lens, 18 LED, Tricolor Red/Blue/Amber</t>
  </si>
  <si>
    <t>PMPAKLSTT218RBGC</t>
  </si>
  <si>
    <t>mpower® 4" 3-Wire Module w/ Stud Mount, for use with mpower Arrow Kit, SAE Class 1 &amp; CA Title 13, 9-32 Vdc, Black Housing, 18 LED, Tricolor - Red/Blue/Green</t>
  </si>
  <si>
    <t>PMPAKLSTT218RBGS</t>
  </si>
  <si>
    <t>mpower® 4" 3-wire Module, Stud Mount, for use with mpower Arrow Kit, Black Housing with Stealth Lens, 18 LED, Tricolor Red/Blue/Green</t>
  </si>
  <si>
    <t>PMPAKLSTT218RBWC</t>
  </si>
  <si>
    <t>mpower® 4" 3-Wire Module w/ Stud Mount, for use with mpower Arrow Kit, SAE Class 1 &amp; CA Title 13, 9-32 Vdc, Black Housing, 18 LED, Tricolor - Red/Blue/White</t>
  </si>
  <si>
    <t>PMPAKLSTT218RBWS</t>
  </si>
  <si>
    <t>mpower® 4" 3-wire Module, Stud Mount, for use with mpower Arrow Kit, Black Housing with Stealth Lens, 18 LED, Tricolor Red/Blue/White</t>
  </si>
  <si>
    <t>PMPAKLSTT218RGWC</t>
  </si>
  <si>
    <t>mpower® 4" 3-Wire Module w/ Stud Mount, for use with mpower Arrow Kit, SAE Class 1 &amp; CA Title 13, 9-32 Vdc, Black Housing, 18 LED, Tricolor - Red/Green/White</t>
  </si>
  <si>
    <t>PMPAKLSTT218RGWS</t>
  </si>
  <si>
    <t>mpower® 4" 3-wire Module, Stud Mount, for use with mpower Arrow Kit, Black Housing with Stealth Lens, 18 LED, Tricolor Red/Green/White</t>
  </si>
  <si>
    <t>PMPAKLHQD212DC</t>
  </si>
  <si>
    <t>mpower® HD 4" 3-Wire Module w/ Quick Mount, for use with mpower Arrow Kit, SAE Class 1 &amp; CA Title 13, 9-32 Vdc, Black Housing, 12 LED, Dual Color - Red/White</t>
  </si>
  <si>
    <t>PMPAKLHQD212EC</t>
  </si>
  <si>
    <t>mpower® HD 4" 3-Wire Module w/ Quick Mount, for use with mpower Arrow Kit, SAE Class 1 &amp; CA Title 13, 9-32 Vdc, Black Housing, 12 LED, Dual Color - Blue/White</t>
  </si>
  <si>
    <t>PMPAKLHQD212FC</t>
  </si>
  <si>
    <t>mpower® HD 4" 3-Wire Module w/ Quick Mount, for use with mpower Arrow Kit, SAE Class 1 &amp; CA Title 13, 9-32 Vdc, Black Housing, 12 LED, Dual Color - Amber/White</t>
  </si>
  <si>
    <t>PMPAKLHQD212HC</t>
  </si>
  <si>
    <t>mpower® HD 4" 3-Wire Module w/ Quick Mount, for use with mpower Arrow Kit, SAE Class 1 &amp; CA Title 13, 9-32 Vdc, Black Housing, 12 LED, Dual Color - Green/White</t>
  </si>
  <si>
    <t>PMPAKLHQD212JC</t>
  </si>
  <si>
    <t>mpower® HD 4" 3-Wire Module w/ Quick Mount, for use with mpower Arrow Kit, SAE Class 1 &amp; CA Title 13, 9-32 Vdc, Black Housing, 12 LED, Dual Color - Red/Blue</t>
  </si>
  <si>
    <t>PMPAKLHQD212KC</t>
  </si>
  <si>
    <t>mpower® HD 4" 3-Wire Module w/ Quick Mount, for use with mpower Arrow Kit, SAE Class 1 &amp; CA Title 13, 9-32 Vdc, Black Housing, 12 LED, Dual Color - Red/Amber</t>
  </si>
  <si>
    <t>PMPAKLHQD212LC</t>
  </si>
  <si>
    <t>mpower® HD 4" 3-Wire Module w/ Quick Mount, for use with mpower Arrow Kit, SAE Class 1 &amp; CA Title 13, 9-32 Vdc, Black Housing, 12 LED, Dual Color - Red/Green</t>
  </si>
  <si>
    <t>PMPAKLHQD212MC</t>
  </si>
  <si>
    <t>mpower® HD 4" 3-Wire Module w/ Quick Mount, for use with mpower Arrow Kit, SAE Class 1 &amp; CA Title 13, 9-32 Vdc, Black Housing, 12 LED, Dual Color - Amber/Blue</t>
  </si>
  <si>
    <t>PMPAKLHQD212NC</t>
  </si>
  <si>
    <t>mpower® HD 4" 3-Wire Module w/ Quick Mount, for use with mpower Arrow Kit, SAE Class 1 &amp; CA Title 13, 9-32 Vdc, Black Housing, 12 LED, Dual Color - Blue/Green</t>
  </si>
  <si>
    <t>PMPAKLHQD212PC</t>
  </si>
  <si>
    <t>mpower® HD 4" 3-Wire Module w/ Quick Mount, for use with mpower Arrow Kit, SAE Class 1 &amp; CA Title 13, 9-32 Vdc, Black Housing, 12 LED, Dual Color - Green/Amber</t>
  </si>
  <si>
    <t>PMPAKLHQS206AC</t>
  </si>
  <si>
    <t>mpower® HD 4" 3-Wire Module w/ Quick Mount, for use with mpower Arrow Kit, SAE Class 1 &amp; CA Title 13, 9-32 Vdc, Black Housing, 6 LED, Single Color - Amber</t>
  </si>
  <si>
    <t>PMPAKLHQS206BC</t>
  </si>
  <si>
    <t>mpower® HD 4" 3-Wire Module w/ Quick Mount, for use with mpower Arrow Kit, SAE Class 1 &amp; CA Title 13, 9-32 Vdc, Black Housing, 6 LED, Single Color - Blue</t>
  </si>
  <si>
    <t>PMPAKLHQS206GC</t>
  </si>
  <si>
    <t>mpower® HD 4" 3-Wire Module w/ Quick Mount, for use with mpower Arrow Kit, SAE Class 1 &amp; CA Title 13, 9-32 Vdc, Black Housing, 6 LED, Single Color - Green</t>
  </si>
  <si>
    <t>PMPAKLHQS206RC</t>
  </si>
  <si>
    <t>mpower® HD 4" 3-Wire Module w/ Quick Mount, for use with mpower Arrow Kit, SAE Class 1 &amp; CA Title 13, 9-32 Vdc, Black Housing, 6 LED, Single Color - Red</t>
  </si>
  <si>
    <t>PMPAKLHQS206WC</t>
  </si>
  <si>
    <t>mpower® HD 4" 3-Wire Module w/ Quick Mount, for use with mpower Arrow Kit, SAE Class 1 &amp; CA Title 13, 9-32 Vdc, Black Housing, 6 LED, Single Color - White</t>
  </si>
  <si>
    <t>PMPAKLHQS208AC</t>
  </si>
  <si>
    <t>mpower® HD 4" 3-Wire Module w/ Quick Mount, for use with mpower Arrow Kit, SAE Class 1 &amp; CA Title 13, 9-32 Vdc, Black Housing, 8 LED, Single Color - Amber</t>
  </si>
  <si>
    <t>PMPAKLHQS208BC</t>
  </si>
  <si>
    <t>mpower® HD 4" 3-Wire Module w/ Quick Mount, for use with mpower Arrow Kit, SAE Class 1 &amp; CA Title 13, 9-32 Vdc, Black Housing, 8 LED, Single Color - Blue</t>
  </si>
  <si>
    <t>PMPAKLHQS208GC</t>
  </si>
  <si>
    <t>mpower® HD 4" 3-Wire Module w/ Quick Mount, for use with mpower Arrow Kit, SAE Class 1 &amp; CA Title 13, 9-32 Vdc, Black Housing, 8 LED, Single Color - Green</t>
  </si>
  <si>
    <t>PMPAKLHQS208RC</t>
  </si>
  <si>
    <t>mpower® HD 4" 3-Wire Module w/ Quick Mount, for use with mpower Arrow Kit, SAE Class 1 &amp; CA Title 13, 9-32 Vdc, Black Housing, 8 LED, Single Color - Red</t>
  </si>
  <si>
    <t>PMPAKLHQS208WC</t>
  </si>
  <si>
    <t>mpower® HD 4" 3-Wire Module w/ Quick Mount, for use with mpower Arrow Kit, SAE Class 1 &amp; CA Title 13, 9-32 Vdc, Black Housing, 8 LED, Single Color - White</t>
  </si>
  <si>
    <t>PMPAKLHQT218BAGC</t>
  </si>
  <si>
    <t>mpower® HD 4" 3-Wire Module w/ Quick Mount, for use with mpower Arrow Kit, SAE Class 1 &amp; CA Title 13, 9-32 Vdc, Black Housing, 18 LED, Tricolor - Blue/Amber/Green</t>
  </si>
  <si>
    <t>PMPAKLHQT218BAWC</t>
  </si>
  <si>
    <t>mpower® HD 4" 3-Wire Module w/ Quick Mount, for use with mpower Arrow Kit, SAE Class 1 &amp; CA Title 13, 9-32 Vdc, Black Housing, 18 LED, Tricolor - Blue/Amber/White</t>
  </si>
  <si>
    <t>PMPAKLHQT218BGWC</t>
  </si>
  <si>
    <t>mpower® HD 4" 3-Wire Module w/ Quick Mount, for use with mpower Arrow Kit, SAE Class 1 &amp; CA Title 13, 9-32 Vdc, Black Housing, 18 LED, Tricolor - Blue/Green/White</t>
  </si>
  <si>
    <t>PMPAKLHQT218GAWC</t>
  </si>
  <si>
    <t>mpower® HD 4" 3-Wire Module w/ Quick Mount, for use with mpower Arrow Kit, SAE Class 1 &amp; CA Title 13, 9-32 Vdc, Black Housing, 18 LED, Tricolor - Green/Amber/White</t>
  </si>
  <si>
    <t>PMPAKLHQT218RAGC</t>
  </si>
  <si>
    <t>mpower® HD 4" 3-Wire Module w/ Quick Mount, for use with mpower Arrow Kit, SAE Class 1 &amp; CA Title 13, 9-32 Vdc, Black Housing, 18 LED, Tricolor - Red/Amber/Green</t>
  </si>
  <si>
    <t>PMPAKLHQT218RAWC</t>
  </si>
  <si>
    <t>mpower® HD 4" 3-Wire Module w/ Quick Mount, for use with mpower Arrow Kit, SAE Class 1 &amp; CA Title 13, 9-32 Vdc, Black Housing, 18 LED, Tricolor - Red/Amber/White</t>
  </si>
  <si>
    <t>PMPAKLHQT218RBAC</t>
  </si>
  <si>
    <t>mpower® HD 4" 3-Wire Module w/ Quick Mount, for use with mpower Arrow Kit, SAE Class 1 &amp; CA Title 13, 9-32 Vdc, Black Housing, 18 LED, Tricolor - Red/Blue/Amber</t>
  </si>
  <si>
    <t>PMPAKLHQT218RBGC</t>
  </si>
  <si>
    <t>mpower® HD 4" 3-Wire Module w/ Quick Mount, for use with mpower Arrow Kit, SAE Class 1 &amp; CA Title 13, 9-32 Vdc, Black Housing, 18 LED, Tricolor - Red/Blue/Green</t>
  </si>
  <si>
    <t>PMPAKLHQT218RBWC</t>
  </si>
  <si>
    <t>mpower® HD 4" 3-Wire Module w/ Quick Mount, for use with mpower Arrow Kit, SAE Class 1 &amp; CA Title 13, 9-32 Vdc, Black Housing, 18 LED, Tricolor - Red/Blue/White</t>
  </si>
  <si>
    <t>PMPAKLHQT218RGWC</t>
  </si>
  <si>
    <t>mpower® HD 4" 3-Wire Module w/ Quick Mount, for use with mpower Arrow Kit, SAE Class 1 &amp; CA Title 13, 9-32 Vdc, Black Housing, 18 LED, Tricolor - Red/Green/White</t>
  </si>
  <si>
    <t>PMPAKLHTD212DC</t>
  </si>
  <si>
    <t>mpower® HD 4" 3-Wire Module w/ Stud Mount, for use with mpower Arrow Kit, SAE Class 1 &amp; CA Title 13, 9-32 Vdc, Black Housing, 12 LED, Dual Color - Red/White</t>
  </si>
  <si>
    <t>PMPAKLHTD212EC</t>
  </si>
  <si>
    <t>mpower® HD 4" 3-Wire Module w/ Stud Mount, for use with mpower Arrow Kit, SAE Class 1 &amp; CA Title 13, 9-32 Vdc, Black Housing, 12 LED, Dual Color - Blue/White</t>
  </si>
  <si>
    <t>PMPAKLHTD212FC</t>
  </si>
  <si>
    <t>mpower® HD 4" 3-Wire Module w/ Stud Mount, for use with mpower Arrow Kit, SAE Class 1 &amp; CA Title 13, 9-32 Vdc, Black Housing, 12 LED, Dual Color - Amber/White</t>
  </si>
  <si>
    <t>PMPAKLHTD212HC</t>
  </si>
  <si>
    <t>mpower® HD 4" 3-Wire Module w/ Stud Mount, for use with mpower Arrow Kit, SAE Class 1 &amp; CA Title 13, 9-32 Vdc, Black Housing, 12 LED, Dual Color - Green/White</t>
  </si>
  <si>
    <t>PMPAKLHTD212JC</t>
  </si>
  <si>
    <t>mpower® HD 4" 3-Wire Module w/ Stud Mount, for use with mpower Arrow Kit, SAE Class 1 &amp; CA Title 13, 9-32 Vdc, Black Housing, 12 LED, Dual Color - Red/Blue</t>
  </si>
  <si>
    <t>PMPAKLHTD212KC</t>
  </si>
  <si>
    <t>mpower® HD 4" 3-Wire Module w/ Stud Mount, for use with mpower Arrow Kit, SAE Class 1 &amp; CA Title 13, 9-32 Vdc, Black Housing, 12 LED, Dual Color - Red/Amber</t>
  </si>
  <si>
    <t>PMPAKLHTD212LC</t>
  </si>
  <si>
    <t>mpower® HD 4" 3-Wire Module w/ Stud Mount, for use with mpower Arrow Kit, SAE Class 1 &amp; CA Title 13, 9-32 Vdc, Black Housing, 12 LED, Dual Color - Red/Green</t>
  </si>
  <si>
    <t>PMPAKLHTD212MC</t>
  </si>
  <si>
    <t>mpower® HD 4" 3-Wire Module w/ Stud Mount, for use with mpower Arrow Kit, SAE Class 1 &amp; CA Title 13, 9-32 Vdc, Black Housing, 12 LED, Dual Color - Amber/Blue</t>
  </si>
  <si>
    <t>PMPAKLHTD212NC</t>
  </si>
  <si>
    <t>mpower® HD 4" 3-Wire Module w/ Stud Mount, for use with mpower Arrow Kit, SAE Class 1 &amp; CA Title 13, 9-32 Vdc, Black Housing, 12 LED, Dual Color - Blue/Green</t>
  </si>
  <si>
    <t>PMPAKLHTD212PC</t>
  </si>
  <si>
    <t>mpower® HD 4" 3-Wire Module w/ Stud Mount, for use with mpower Arrow Kit, SAE Class 1 &amp; CA Title 13, 9-32 Vdc, Black Housing, 12 LED, Dual Color - Green/Amber</t>
  </si>
  <si>
    <t>PMPAKLHTS206AC</t>
  </si>
  <si>
    <t>mpower® HD 4" 3-Wire Module w/ Stud Mount, for use with mpower Arrow Kit, SAE Class 1 &amp; CA Title 13, 9-32 Vdc, Black Housing, 6 LED, Single Color - Amber</t>
  </si>
  <si>
    <t>PMPAKLHTS206BC</t>
  </si>
  <si>
    <t>mpower® HD 4" 3-Wire Module w/ Stud Mount, for use with mpower Arrow Kit, SAE Class 1 &amp; CA Title 13, 9-32 Vdc, Black Housing, 6 LED, Single Color - Blue</t>
  </si>
  <si>
    <t>PMPAKLHTS206GC</t>
  </si>
  <si>
    <t>mpower® HD 4" 3-Wire Module w/ Stud Mount, for use with mpower Arrow Kit, SAE Class 1 &amp; CA Title 13, 9-32 Vdc, Black Housing, 6 LED, Single Color - Green</t>
  </si>
  <si>
    <t>PMPAKLHTS206RC</t>
  </si>
  <si>
    <t>mpower® HD 4" 3-Wire Module w/ Stud Mount, for use with mpower Arrow Kit, SAE Class 1 &amp; CA Title 13, 9-32 Vdc, Black Housing, 6 LED, Single Color - Red</t>
  </si>
  <si>
    <t>PMPAKLHTS206WC</t>
  </si>
  <si>
    <t>mpower® HD 4" 3-Wire Module w/ Stud Mount, for use with mpower Arrow Kit, SAE Class 1 &amp; CA Title 13, 9-32 Vdc, Black Housing, 6 LED, Single Color - White</t>
  </si>
  <si>
    <t>PMPAKLHTS208AC</t>
  </si>
  <si>
    <t>mpower® HD 4" 3-Wire Module w/ Stud Mount, for use with mpower Arrow Kit, SAE Class 1 &amp; CA Title 13, 9-32 Vdc, Black Housing, 8 LED, Single Color - Amber</t>
  </si>
  <si>
    <t>PMPAKLHTS208BC</t>
  </si>
  <si>
    <t>mpower® HD 4" 3-Wire Module w/ Stud Mount, for use with mpower Arrow Kit, SAE Class 1 &amp; CA Title 13, 9-32 Vdc, Black Housing, 8 LED, Single Color - Blue</t>
  </si>
  <si>
    <t>PMPAKLHTS208GC</t>
  </si>
  <si>
    <t>mpower® HD 4" 3-Wire Module w/ Stud Mount, for use with mpower Arrow Kit, SAE Class 1 &amp; CA Title 13, 9-32 Vdc, Black Housing, 8 LED, Single Color - Green</t>
  </si>
  <si>
    <t>PMPAKLHTS208RC</t>
  </si>
  <si>
    <t>mpower® HD 4" 3-Wire Module w/ Stud Mount, for use with mpower Arrow Kit, SAE Class 1 &amp; CA Title 13, 9-32 Vdc, Black Housing, 8 LED, Single Color - Red</t>
  </si>
  <si>
    <t>PMPAKLHTS208WC</t>
  </si>
  <si>
    <t>mpower® HD 4" 3-Wire Module w/ Stud Mount, for use with mpower Arrow Kit, SAE Class 1 &amp; CA Title 13, 9-32 Vdc, Black Housing, 8 LED, Single Color - White</t>
  </si>
  <si>
    <t>PMPAKLHTT218BAGC</t>
  </si>
  <si>
    <t>mpower® HD 4" 3-Wire Module w/ Stud Mount, for use with mpower Arrow Kit, SAE Class 1 &amp; CA Title 13, 9-32 Vdc, Black Housing, 18 LED, Tricolor - Blue/Amber/Green</t>
  </si>
  <si>
    <t>PMPAKLHTT218BAWC</t>
  </si>
  <si>
    <t>mpower® HD 4" 3-Wire Module w/ Stud Mount, for use with mpower Arrow Kit, SAE Class 1 &amp; CA Title 13, 9-32 Vdc, Black Housing, 18 LED, Tricolor - Blue/Amber/White</t>
  </si>
  <si>
    <t>PMPAKLHTT218BGWC</t>
  </si>
  <si>
    <t>mpower® HD 4" 3-Wire Module w/ Stud Mount, for use with mpower Arrow Kit, SAE Class 1 &amp; CA Title 13, 9-32 Vdc, Black Housing, 18 LED, Tricolor - Blue/Green/White</t>
  </si>
  <si>
    <t>PMPAKLHTT218GAWC</t>
  </si>
  <si>
    <t>mpower® HD 4" 3-Wire Module w/ Stud Mount, for use with mpower Arrow Kit, SAE Class 1 &amp; CA Title 13, 9-32 Vdc, Black Housing, 18 LED, Tricolor - Green/Amber/White</t>
  </si>
  <si>
    <t>PMPAKLHTT218RAGC</t>
  </si>
  <si>
    <t>mpower® HD 4" 3-Wire Module w/ Stud Mount, for use with mpower Arrow Kit, SAE Class 1 &amp; CA Title 13, 9-32 Vdc, Black Housing, 18 LED, Tricolor - Red/Amber/Green</t>
  </si>
  <si>
    <t>PMPAKLHTT218RAWC</t>
  </si>
  <si>
    <t>mpower® HD 4" 3-Wire Module w/ Stud Mount, for use with mpower Arrow Kit, SAE Class 1 &amp; CA Title 13, 9-32 Vdc, Black Housing, 18 LED, Tricolor - Red/Amber/White</t>
  </si>
  <si>
    <t>PMPAKLHTT218RBAC</t>
  </si>
  <si>
    <t>mpower® HD 4" 3-Wire Module w/ Stud Mount, for use with mpower Arrow Kit, SAE Class 1 &amp; CA Title 13, 9-32 Vdc, Black Housing, 18 LED, Tricolor - Red/Blue/Amber</t>
  </si>
  <si>
    <t>PMPAKLHTT218RBGC</t>
  </si>
  <si>
    <t>mpower® HD 4" 3-Wire Module w/ Stud Mount, for use with mpower Arrow Kit, SAE Class 1 &amp; CA Title 13, 9-32 Vdc, Black Housing, 18 LED, Tricolor - Red/Blue/Green</t>
  </si>
  <si>
    <t>PMPAKLHTT218RBWC</t>
  </si>
  <si>
    <t>mpower® HD 4" 3-Wire Module w/ Stud Mount, for use with mpower Arrow Kit, SAE Class 1 &amp; CA Title 13, 9-32 Vdc, Black Housing, 18 LED, Tricolor - Red/Blue/White</t>
  </si>
  <si>
    <t>PMPAKLHTT218RGWC</t>
  </si>
  <si>
    <t>mpower® HD 4" 3-Wire Module w/ Stud Mount, for use with mpower Arrow Kit, SAE Class 1 &amp; CA Title 13, 9-32 Vdc, Black Housing, 18 LED, Tricolor - Red/Green/White</t>
  </si>
  <si>
    <t>ENFRMS1A</t>
  </si>
  <si>
    <t>nFORCE® Warning Module (only), SAE Class 1, 10-16v, 6 LED Single Color Amber</t>
  </si>
  <si>
    <t>ENFRMS1B</t>
  </si>
  <si>
    <t>nFORCE® Warning Module (only), SAE Class 1, 10-16v, 6 LED Single Color Blue</t>
  </si>
  <si>
    <t>ENFRMS1D</t>
  </si>
  <si>
    <t>nFORCE® Warning Module (only), SAE Class 1, 10-16v, 6 LED Split Color Red/White</t>
  </si>
  <si>
    <t>ENFRMS1E</t>
  </si>
  <si>
    <t>nFORCE® Warning Module (only), SAE Class 1, 10-16v, 6 LED Split Color Blue/White</t>
  </si>
  <si>
    <t>ENFRMS1F</t>
  </si>
  <si>
    <t>nFORCE® Warning Module (only), SAE Class 1, 10-16v, 6 LED Split Color Amber/White</t>
  </si>
  <si>
    <t>ENFRMS1G</t>
  </si>
  <si>
    <t>nFORCE® Warning Module (only), SAE Class 1, 10-16v, 6 LED Single Color Green</t>
  </si>
  <si>
    <t>ENFRMS1H</t>
  </si>
  <si>
    <t>nFORCE® Warning Module (only), SAE Class 1, 10-16v, 6 LED Split Color Green/White</t>
  </si>
  <si>
    <t>ENFRMS1J</t>
  </si>
  <si>
    <t>nFORCE® Warning Module (only), SAE Class 1, 10-16v, 6 LED Split Color Red/Blue</t>
  </si>
  <si>
    <t>ENFRMS1K</t>
  </si>
  <si>
    <t>nFORCE® Warning Module (only), SAE Class 1, 10-16v, 6 LED Split Color Red/Amber</t>
  </si>
  <si>
    <t>ENFRMS1L</t>
  </si>
  <si>
    <t>nFORCE® Warning Module (only), SAE Class 1, 10-16v, 6 LED Split Color Red/Green</t>
  </si>
  <si>
    <t>ENFRMS1M</t>
  </si>
  <si>
    <t>nFORCE® Warning Module (only), SAE Class 1, 10-16v, 6 LED Split Color Blue/Amber</t>
  </si>
  <si>
    <t>ENFRMS1N</t>
  </si>
  <si>
    <t>nFORCE® Warning Module (only), SAE Class 1, 10-16v, 6 LED Split Color Blue/Green</t>
  </si>
  <si>
    <t>ENFRMS1P</t>
  </si>
  <si>
    <t>nFORCE® Warning Module (only), SAE Class 1, 10-16v, 6 LED Split Color Green/Amber</t>
  </si>
  <si>
    <t>ENFRMS1R</t>
  </si>
  <si>
    <t>nFORCE® Warning Module (only), SAE Class 1, 10-16v, 6 LED Single Color Red</t>
  </si>
  <si>
    <t>ENFRMS1W</t>
  </si>
  <si>
    <t>nFORCE® Warning Module (only), SAE Class 1, 10-16v, 6 LED Single Color White</t>
  </si>
  <si>
    <t>ENFRMS2A</t>
  </si>
  <si>
    <t>nFORCE® Warning Module (only), SAE Class 1, 10-16v, 9 LED Single Color Amber</t>
  </si>
  <si>
    <t>ENFRMS2B</t>
  </si>
  <si>
    <t>nFORCE® Warning Module (only), SAE Class 1, 10-16v, 9 LED Single Color Blue</t>
  </si>
  <si>
    <t>ENFRMS2G</t>
  </si>
  <si>
    <t>nFORCE® Warning Module (only), SAE Class 1, 10-16v, 9 LED Single Color Green</t>
  </si>
  <si>
    <t>ENFRMS2R</t>
  </si>
  <si>
    <t>nFORCE® Warning Module (only), SAE Class 1, 10-16v, 9 LED Single Color Red</t>
  </si>
  <si>
    <t>ENFRMS2W</t>
  </si>
  <si>
    <t>nFORCE® Warning Module (only), SAE Class 1, 10-16v, 9 LED Single Color White</t>
  </si>
  <si>
    <t>ENFRMS3A</t>
  </si>
  <si>
    <t>nFORCE® Warning Module (only), SAE Class 1, 10-16v, 12 LED Single Color Amber</t>
  </si>
  <si>
    <t>ENFRMS3B</t>
  </si>
  <si>
    <t>nFORCE® Warning Module (only), SAE Class 1, 10-16v, 12 LED Single Color Blue</t>
  </si>
  <si>
    <t>ENFRMS3G</t>
  </si>
  <si>
    <t>nFORCE® Warning Module (only), SAE Class 1, 10-16v, 12 LED Single Color Green</t>
  </si>
  <si>
    <t>ENFRMS3R</t>
  </si>
  <si>
    <t>nFORCE® Warning Module (only), SAE Class 1, 10-16v, 12 LED Single Color Red</t>
  </si>
  <si>
    <t>ENFRMS3W</t>
  </si>
  <si>
    <t>nFORCE® Warning Module (only), SAE Class 1, 10-16v, 12 LED Single Color White</t>
  </si>
  <si>
    <t>ENFRMS4ABG</t>
  </si>
  <si>
    <t>nFORCE® Warning Module (only), SAE Class 1, 10-16v, 18 LED Tricolor - Amber/Blue/Green</t>
  </si>
  <si>
    <t>ENFRMS4ABW</t>
  </si>
  <si>
    <t>nFORCE® Warning Module (only), SAE Class 1, 10-16v, 18 LED Tricolor - Amber/Blue/White</t>
  </si>
  <si>
    <t>ENFRMS4AGW</t>
  </si>
  <si>
    <t>nFORCE® Warning Module (only), SAE Class 1, 10-16v, 18 LED Tricolor - Amber/Green/White</t>
  </si>
  <si>
    <t>ENFRMS4ARG</t>
  </si>
  <si>
    <t>nFORCE® Warning Module (only), SAE Class 1, 10-16v, 18 LED Tricolor - Amber/Red/Green</t>
  </si>
  <si>
    <t>ENFRMS4ARW</t>
  </si>
  <si>
    <t>nFORCE® Warning Module (only), SAE Class 1, 10-16v, 18 LED Tricolor - Amber/Red/White</t>
  </si>
  <si>
    <t>ENFRMS4BRA</t>
  </si>
  <si>
    <t>nFORCE® Warning Module (only), SAE Class 1, 10-16v, 18 LED Tricolor - Blue/Red/Amber</t>
  </si>
  <si>
    <t>ENFRMS4BRG</t>
  </si>
  <si>
    <t>nFORCE® Warning Module (only), SAE Class 1, 10-16v, 18 LED Tricolor - Blue/Red/Green</t>
  </si>
  <si>
    <t>ENFRMS4BRW</t>
  </si>
  <si>
    <t>nFORCE® Warning Module (only), SAE Class 1, 10-16v, 18 LED Tricolor - Blue/Red/White</t>
  </si>
  <si>
    <t>ENFRMS4GBW</t>
  </si>
  <si>
    <t>nFORCE® Warning Module (only), SAE Class 1, 10-16v, 18 LED Tricolor - Green/Blue/White</t>
  </si>
  <si>
    <t>ENFRMS4GRW</t>
  </si>
  <si>
    <t>nFORCE® Warning Module (only), SAE Class 1, 10-16v, 18 LED Tricolor - Green/Red/White</t>
  </si>
  <si>
    <t>PEPL9GTT1C</t>
  </si>
  <si>
    <t>Opticom™ Low-Profile Infrared LED Emitter Module, Model 795H – for use with Pinnacle (EPL9000) LED Lightbars only</t>
  </si>
  <si>
    <t>PEPL9GTT795H</t>
  </si>
  <si>
    <t>Opticom™ Infrared LED Emitter Module - Model 795H (EPL9000 lightbar version)</t>
  </si>
  <si>
    <t>PNFLBGTTKT</t>
  </si>
  <si>
    <t>Opticom™ Low-Profile Infrared LED Emitter Module, Model 795H - for use with nFORCE (ENFLB) LED Lightbars only</t>
  </si>
  <si>
    <t>PNNLBLSPPREW</t>
  </si>
  <si>
    <t>Opticom™ Low-Profile Infrared LED Emitter Module, Model 795H - for use with LED Lightbars only</t>
  </si>
  <si>
    <t>PMP1BK007-P</t>
  </si>
  <si>
    <t>Passenger side mpower® D-Pillar Bracket replacement for 2020-2025 Ford Police Interceptor Utility, compatible with 3" mpower® stud mount fascia lights (for rear-facing application) and 3" mpower quick mount fascia lights (for optional side-facing application)</t>
  </si>
  <si>
    <t>PSP1BLK</t>
  </si>
  <si>
    <t>Switch Button Peel &amp; Stick Legends (compatible with #ETSP990 &amp; #ETSP993)</t>
  </si>
  <si>
    <t>PSRNLEG1</t>
  </si>
  <si>
    <t>Peel &amp; Stick Legends for Auxiliary Buttons for #ETSA481RSP, #ETSA482RSP</t>
  </si>
  <si>
    <t>PSRNLEG2</t>
  </si>
  <si>
    <t>Peel &amp; Stick Legends for Auxiliary Buttons for #ETSA461HPP, #ETSA462HPP</t>
  </si>
  <si>
    <t>PMB3BKT</t>
  </si>
  <si>
    <t>Replacement Permanent Mount Bracket (1 bracket) for EPL7000 &amp; LED3 Mini Lightbars</t>
  </si>
  <si>
    <t>PMB3BRKT</t>
  </si>
  <si>
    <t>Permanent Mount Bracket Conversion Kit w/ 2 Brackets LED3 Mini Lightbars</t>
  </si>
  <si>
    <t>PMB3HBRKT</t>
  </si>
  <si>
    <t>Permanent High Mount Bracket Conversion Kit w/ 2 Brackets</t>
  </si>
  <si>
    <t>PNFLBHNDT2</t>
  </si>
  <si>
    <t>Plug &amp; Play Kit for 400 Series Console Sirens to connect to nFORCE Exterior Lightbar, includes 3' CAT5 Cable (only)</t>
  </si>
  <si>
    <t>PNFLBSPLT1</t>
  </si>
  <si>
    <t>Plug &amp; Play Kit for 400 Series Remote &amp; Handheld Siren to connect to nFORCE Exterior Lightbar, includes: RJ-45 Splitter &amp; 3' CAT5 Cable</t>
  </si>
  <si>
    <t>PMP9HK04</t>
  </si>
  <si>
    <t>Plug Kit, includes 4 plugs to cover the corner mounting screws for use with mpower® 9x7 Screw or Stud Mount Lights</t>
  </si>
  <si>
    <t>PNSLBDST1</t>
  </si>
  <si>
    <t>Power Distribution Board for use with 36" to 72" nFUSE® &amp; nFUSE® XL Lightbar</t>
  </si>
  <si>
    <t>PNNLBDRV1</t>
  </si>
  <si>
    <t>Lightbar Power Driver Board</t>
  </si>
  <si>
    <t>PWR5ADP1</t>
  </si>
  <si>
    <t>Power5 Cigar-Plug Adaptor w/ 2-Position Rocker Switch - allows you to convert 5-wire light to Cigar Plug for power</t>
  </si>
  <si>
    <t>PSRN2HNS1</t>
  </si>
  <si>
    <t>Replacement Pre-AMP 4-Wire Harness Kit for 200 Series Sirens</t>
  </si>
  <si>
    <t>PMP1SRPQCP</t>
  </si>
  <si>
    <t>Replacement 3" Quick Clip Pad for mpower® 3" Fascia</t>
  </si>
  <si>
    <t>PMP2SRPQCP</t>
  </si>
  <si>
    <t>Quick Clip Pad for use with for use with mpower® 4" Fascia Light</t>
  </si>
  <si>
    <t>PMP1SRPQMA</t>
  </si>
  <si>
    <t>Replacement 3" Quick Mount Adhesive for mpower® 3" Fascia</t>
  </si>
  <si>
    <t>PMP2SRPQMA</t>
  </si>
  <si>
    <t>Quick Mount Adhesive for use with mpower® 4" Fascia Light</t>
  </si>
  <si>
    <t>PMP2SRPQMA-BK</t>
  </si>
  <si>
    <t>Quick Mount Adhesive for use with mpower® 4" Fascia Light (Bulk Pack)</t>
  </si>
  <si>
    <t>PMPSARPQMA</t>
  </si>
  <si>
    <t>Quick Mount Adhesive for use with mpower® Fascia 4x2 Light</t>
  </si>
  <si>
    <t>PNFWBHRFF12</t>
  </si>
  <si>
    <t>Rear Drill Template Kit, contains multiple paper templates for proper installation of rear interior lightbar</t>
  </si>
  <si>
    <t>PNFWBHRFF15</t>
  </si>
  <si>
    <t>PNFLBRFC845-D</t>
  </si>
  <si>
    <t>nFORCE® Exterior Lightbar Endcap Reflector - Driver Side</t>
  </si>
  <si>
    <t>PNFLBRFC845-P</t>
  </si>
  <si>
    <t>nFORCE® Exterior Lightbar Endcap Reflector - Passenger Side</t>
  </si>
  <si>
    <t>PNFLBRFL845</t>
  </si>
  <si>
    <t>nFORCE® Exterior Lightbar Inboard Reflector</t>
  </si>
  <si>
    <t>PNFLBRFTD1</t>
  </si>
  <si>
    <t>nFORCE® Exterior Lightbar Take Down/Work Light Reflector</t>
  </si>
  <si>
    <t>PCPRSP01</t>
  </si>
  <si>
    <t>Replacement 8 Button Controller w/ Slide Switch</t>
  </si>
  <si>
    <t>PMB3RTNR</t>
  </si>
  <si>
    <t>Replacement Retainer Clamp w/ Hardware (for Cigar Plug Cable) for EPL7000 &amp; LED3 Mini Lightbars</t>
  </si>
  <si>
    <t>PNFLBTSLGLBL</t>
  </si>
  <si>
    <t>Retrofit Solar Panel Kit, includes: Solar Panel and Blue Top Cover</t>
  </si>
  <si>
    <t>PNFLBTSLGLGY</t>
  </si>
  <si>
    <t>Retrofit Solar Panel Kit, includes: Solar Panel and Gray Top Cover</t>
  </si>
  <si>
    <t>PNFLBTSLGLRD</t>
  </si>
  <si>
    <t>Retrofit Solar Panel Kit, includes: Solar Panel and Red Top Cover</t>
  </si>
  <si>
    <t>PNFLBTSLGLYL</t>
  </si>
  <si>
    <t>Retrofit Solar Panel Kit, includes: Solar Panel and Yellow Top Cover</t>
  </si>
  <si>
    <t>PSRN4RJC1</t>
  </si>
  <si>
    <t>RJ45 Coupler for use w/ nERGY® 400 Series Sirens</t>
  </si>
  <si>
    <t>PNFLBSPLT2</t>
  </si>
  <si>
    <t>RJ45 Splitter with Harness</t>
  </si>
  <si>
    <t>PSP0SW1</t>
  </si>
  <si>
    <t>Replacement Rocker Switch for #ETSP9F &amp; #ETSP6F Switches - Red</t>
  </si>
  <si>
    <t>PEPL9RFGR2</t>
  </si>
  <si>
    <t>Roof Grommet for use w/ Opticom™ Infrared LED Emitter Module, Model 795H</t>
  </si>
  <si>
    <t>PEPL9RFGR</t>
  </si>
  <si>
    <t>Pinnacle (EPL9000) Roof Wire Grommet for External Breakout Box</t>
  </si>
  <si>
    <t>PSRNSWK2</t>
  </si>
  <si>
    <t>Replacement Rotary Knob for #ETSA48(x)CSR</t>
  </si>
  <si>
    <t>Screw Kit</t>
  </si>
  <si>
    <t>PEMG2HDDM</t>
  </si>
  <si>
    <t>Magnum (EMG2000) Screw Kit for Divider or Module replacement</t>
  </si>
  <si>
    <t>PFDBCHDK2</t>
  </si>
  <si>
    <t>PMPSRPSMH</t>
  </si>
  <si>
    <t>Replacement Screw Mount Hardware for mpower® 3" or 4" Fascia</t>
  </si>
  <si>
    <t>PNSLBTDVD1</t>
  </si>
  <si>
    <t>Short Lens Divider for nFUSE® Lightbar</t>
  </si>
  <si>
    <t>PNFWBBRFC11</t>
  </si>
  <si>
    <t>Rear Facing Shroud w/Hardware (no mounting brackets) for nFORCE® Interior Full 1 Piece Lightbar (ENFWBRxxx), Chevrolet Tahoe Police Pursuit &amp; Civilian Vehicles/Suburban/Yukon &amp; XL 2021-2025</t>
  </si>
  <si>
    <t>PNFWBBRFD08</t>
  </si>
  <si>
    <t>Rear Deck Shroud w/Hardware (no mounting brackets) for nFORCE® Interior Full 1 Piece Lightbar (ENFWBRxxx) - Dodge Charger Police Pursuit &amp; Civilian Vehicles 2021-2023</t>
  </si>
  <si>
    <t>PNFWBBRFD09</t>
  </si>
  <si>
    <t>Rear Facing Shroud w/Hardware (no mounting brackets) for nFORCE® Interior Full 1 Piece Lightbar (ENFWBRxxx) - Dodge Durango Police Pursuit &amp; Civilian Vehicles 2022-2025</t>
  </si>
  <si>
    <t>PNFWBBRFF12</t>
  </si>
  <si>
    <t>Rear Facing Shroud w/Hardware (no mounting brackets) for nFORCE® Interior Full 1 Piece Lightbar (ENFWBRxxx), Ford Expedition 2018-2023</t>
  </si>
  <si>
    <t>PNFWBBRFF15</t>
  </si>
  <si>
    <t>Rear Facing Shroud w/Hardware (no mounting brackets) for nFORCE® Interior Full 1 Piece Lightbar (ENFWBRxxx) - Ford PI Utility 2020-2023</t>
  </si>
  <si>
    <t>PNFWBBRFF27</t>
  </si>
  <si>
    <t>Rear Facing Shroud w/Hardware (no mounting brackets) for nFORCE® Interior Full 1 Piece Lightbar (ENFWBRxxx), Ford Mustang Mach-E 2021-2025</t>
  </si>
  <si>
    <t>PNFSLWSDS</t>
  </si>
  <si>
    <t>Dual Windshield Shroud for nFORCE®</t>
  </si>
  <si>
    <t>PNFSLWSSS</t>
  </si>
  <si>
    <t>Single Windshield Shroud for nFORCE®</t>
  </si>
  <si>
    <t>PNFWBBFSC08-D</t>
  </si>
  <si>
    <t>Windshield Shroud w/Hardware (no mounting brackets) for nFORCE® Interior Split 2 Piece Lightbar (ENFWBFSxxx) - Chevrolet Silverado 1500 2019.5 mid-year change - 2025 &amp; Silverado 2500HD and 3500HD 2020-2025, Sierra 1500 2019.5 mid-year change -2025, Sierra 2500HD, 3500HD 2020-2025, Driver Side</t>
  </si>
  <si>
    <t>PNFWBBFSC08-P</t>
  </si>
  <si>
    <t>Windshield Shroud w/Hardware (no mounting brackets) for nFORCE® Interior Split 2 Piece Lightbar (ENFWBFSxxx) - Chevrolet Silverado 1500 2019.5 mid-year change - 2025 &amp; Silverado 2500HD and 3500HD 2020-2025, Sierra 1500 2019.5 mid-year change -2025, Sierra 2500HD, 3500HD 2020-2025, Passenger Side</t>
  </si>
  <si>
    <t>PNFWBBFSC11-D</t>
  </si>
  <si>
    <t>Windshield Shroud w/Hardware (no mounting brackets) for nFORCE® Interior Split 2 Piece Lightbar (ENFWBFSxxx) - Chevrolet Tahoe Police Pursuit &amp; Civilian Vehicles/Suburban/Yukon &amp; XL 2021-2025, Driver Side</t>
  </si>
  <si>
    <t>PNFWBBFSC11-P</t>
  </si>
  <si>
    <t>Windshield Shroud w/Hardware (no mounting brackets) for nFORCE® Interior Split 2 Piece Lightbar (ENFWBFSxxx) - Chevrolet Tahoe Police Pursuit &amp; Civilian Vehicles/Suburban/Yukon &amp; XL 2021-2025, Passenger Side</t>
  </si>
  <si>
    <t>PNFWBBFSD01-D</t>
  </si>
  <si>
    <t>Windshield Shroud w/Hardware (no mounting brackets) for nFORCE® Interior Split 2 Piece Lightbar (ENFWBFSxxx) - Dodge Charger, Driver Side ('11+)</t>
  </si>
  <si>
    <t>PNFWBBFSD01-P</t>
  </si>
  <si>
    <t>Windshield Shroud w/Hardware (no mounting brackets) for nFORCE® Interior Split 2 Piece Lightbar (ENFWBFSxxx) - Dodge Charger, Passenger Side ('11+)</t>
  </si>
  <si>
    <t>PNFWBBFSD03-D</t>
  </si>
  <si>
    <t>Windshield Shroud w/Hardware (no mounting brackets) for Interior Split 2 Piece Lightbar (ENFWBFSxxx), Driver Side - Dodge Ram Classic 1500 2009-2023, Ram 2500, 3500 2009-2018</t>
  </si>
  <si>
    <t>PNFWBBFSD03-P</t>
  </si>
  <si>
    <t>Windshield Shroud w/Hardware (no mounting brackets) for Interior Split 2 Piece Lightbar (ENFWBFSxxx), Passenger Side - Dodge Ram Classic 1500 2009-2023, Ram 2500, 3500 2009-2018</t>
  </si>
  <si>
    <t>PNFWBBFSD05-D</t>
  </si>
  <si>
    <t>Windshield Shroud w/Hardware (no mounting brackets) for nFORCE® Interior Split 2 Piece Lightbar (ENFWBFSxxx) - Dodge Durango, Driver Side 2018-2020 &amp; Jeep Grand Cherokee 2021</t>
  </si>
  <si>
    <t>PNFWBBFSD05-P</t>
  </si>
  <si>
    <t>Windshield Shroud w/Hardware (no mounting brackets) for nFORCE® Interior Split 2 Piece Lightbar (ENFWBFSxxx) - Dodge Durango, Passenger Side 2018-2020 &amp; Jeep Grand Cherokee 2021</t>
  </si>
  <si>
    <t>PNFWBBFSD08-D</t>
  </si>
  <si>
    <t>Windshield Shroud w/Hardware (no mounting brackets) for nFORCE® Interior Split 2 Piece Lightbar (ENFWBFSxxx) - Dodge Charger Pursuit &amp; Civilian Vehicles 2022-2023, Driver Side</t>
  </si>
  <si>
    <t>PNFWBBFSD08-P</t>
  </si>
  <si>
    <t>Windshield Shroud w/Hardware (no mounting brackets) for nFORCE® Interior Split 2 Piece Lightbar (ENFWBFSxxx) - Dodge Charger Pursuit &amp; Civilian Vehicles 2021-2023, Passenger Side</t>
  </si>
  <si>
    <t>PNFWBBFSD09-D</t>
  </si>
  <si>
    <t>Windshield Shroud w/Hardware (no mounting brackets) for nFORCE® Interior Split 2 Piece Lightbar (ENFWBFSxxx) - Dodge Durango Police Pursuit &amp; Civilian Vehicles, Driver Side 2022-2025</t>
  </si>
  <si>
    <t>PNFWBBFSD09-P</t>
  </si>
  <si>
    <t>Windshield Shroud w/Hardware (no mounting brackets) for nFORCE® Interior Split 2 Piece Lightbar (ENFWBFSxxx) - Dodge Durango Police Pursuit &amp; Civilian Vehicles, Passenger Side 2021-2025</t>
  </si>
  <si>
    <t>PNFWBBFSD10-D</t>
  </si>
  <si>
    <t>Windshield Shroud w/Hardware (no mounting brackets) for Interior Split 2 Piece Lightbar (ENFWBFSxxx), Dodge Ram 1500 (5th Gen) 2019-2025, Dodge Ram 2500 and 3500 2019-2022, Driver Side</t>
  </si>
  <si>
    <t>PNFWBBFSD10-P</t>
  </si>
  <si>
    <t>Windshield Shroud w/Hardware (no mounting brackets) for Interior Split 2 Piece Lightbar (ENFWBFSxxx), Dodge Ram 1500 (5th Gen) 2019-2025, Dodge Ram 2500 and 3500 2019-2022, Passenger Side</t>
  </si>
  <si>
    <t>PNFWBBFSD12-D</t>
  </si>
  <si>
    <t>Windshield Shroud w/Hardware (no mounting brackets) for nFORCE® Interior Split 2 Piece Lightbar (ENFWBFSxxx) - Dodge Ram 2500 &amp; 3500 2019-2024, Driver Side</t>
  </si>
  <si>
    <t>PNFWBBFSD12-P</t>
  </si>
  <si>
    <t>Windshield Shroud w/Hardware (no mounting brackets) for nFORCE® Interior Split 2 Piece Lightbar (ENFWBFSxxx) - Dodge Ram 2500 &amp; 3500 2019-2024, Passenger Side</t>
  </si>
  <si>
    <t>PNFWBBFSF12-D</t>
  </si>
  <si>
    <t>Windshield Shroud w/Hardware (no mounting brackets) for Interior Split 2 Piece Lightbar (ENFWBFSxxx) - Ford Expedition, Driver Side 2018-2023</t>
  </si>
  <si>
    <t>PNFWBBFSF12-P</t>
  </si>
  <si>
    <t>Windshield Shroud w/Hardware (no mounting brackets) for Interior Split 2 Piece Lightbar (ENFWBFSxxx) - Ford Expedition, Passenger Side 2018-2023</t>
  </si>
  <si>
    <t>PNFWBBFSF15-D</t>
  </si>
  <si>
    <t>Windshield Shroud w/Hardware (no mounting brackets) for nFORCE® Interior Split 2 Piece Lightbar (ENFWBFSxxx) - Ford PI Utility 2020-2023, without Option 76P, Driver Side</t>
  </si>
  <si>
    <t>PNFWBBFSF15-P</t>
  </si>
  <si>
    <t>Windshield Shroud w/Hardware (no mounting brackets) for nFORCE® Interior Split 2 Piece Lightbar (ENFWBFSxxx) - Ford PI Utility 2020-2023, without Option 76P, Passenger Side</t>
  </si>
  <si>
    <t>PNFWBBFSF17-D</t>
  </si>
  <si>
    <t>Windshield Shroud w/Hardware (no mounting brackets) for nFORCE® Interior Split 2 Piece Lightbar (ENFWBFSxxx) - Ford PI Utility 2020-2023, with Option 76P, Driver Side</t>
  </si>
  <si>
    <t>PNFWBBFSF17-P</t>
  </si>
  <si>
    <t>Windshield Shroud w/Hardware (no mounting brackets) for nFORCE® Interior Split 2 Piece Lightbar (ENFWBFSxxx) - Ford PI Utility 2020, with Option 76P, Passenger Side</t>
  </si>
  <si>
    <t>PNFWBBFSF20-D</t>
  </si>
  <si>
    <t>Windshield Shroud w/Hardware (no mounting brackets) for Interior Split 2 Piece Lightbar, Ford F-150 (2022-2025), Ford F-150 Police Pursuit, Special Service Vehicle &amp; Civilian Vehicles (2021-2025), Ford Super Duty F-250 - F-550 (2023-2025), Driver Side</t>
  </si>
  <si>
    <t>PNFWBBFSF20-P</t>
  </si>
  <si>
    <t>Windshield Shroud w/Hardware (no mounting brackets) for Interior Split 2 Piece Lightbar,  Ford F-150 (2022-2025), Ford F-150 Police Pursuit, Special Service Vehicle &amp; Civilian Vehicles (2021-2025), Ford Super Duty F-250 - F-550 (2023-2025), Passenger Side</t>
  </si>
  <si>
    <t>PNFWBBFSF27-D</t>
  </si>
  <si>
    <t>Windshield Shroud w/Hardware (no mounting brackets) for nFORCE® Interior Split 2 Piece Lightbar (ENFWBFSxxx) - Ford Mustang Mach-E 2021-2025, Driver Side</t>
  </si>
  <si>
    <t>PNFWBBFSF27-P</t>
  </si>
  <si>
    <t>Windshield Shroud w/Hardware (no mounting brackets) for nFORCE® Interior Split 2 Piece Lightbar (ENFWBFSxxx) - Ford Mustang Mach-E 2021-2025, Passenger Side</t>
  </si>
  <si>
    <t>PNFWBBFSF31-D</t>
  </si>
  <si>
    <t>Windshield Shroud w/Hardware (no mounting brackets) for nFORCE® Interior Split 2 Piece Lightbar (ENFWBFSxxx) - Ford PI Utility 2025, Driver Side</t>
  </si>
  <si>
    <t>PNFWBBFSF31-P</t>
  </si>
  <si>
    <t>Windshield Shroud w/Hardware (no mounting brackets) for nFORCE® Interior Split 2 Piece Lightbar (ENFWBFSxxx) - Ford PI Utility 2025, Passenger Side</t>
  </si>
  <si>
    <t>PNFWBBFSU00-D</t>
  </si>
  <si>
    <t>Windshield Shroud w/Hardware (no mounting brackets) for nFORCE® Interior Split 2 Piece Lightbar (ENFWBFSxxx) - Universal, Driver Side</t>
  </si>
  <si>
    <t>PNFWBBFSU00-P</t>
  </si>
  <si>
    <t>Windshield Shroud w/Hardware (no mounting brackets) for nFORCE® Interior Split 2 Piece Lightbar (ENFWBFSxxx) - Universal, Passenger Side</t>
  </si>
  <si>
    <t>PNFWBBFSU01-D</t>
  </si>
  <si>
    <t>Windshield Shroud w/Hardware (no mounting brackets) for nFORCE® Interior Split 2 Piece  Lightbar, 3 Module only  (ENFWBFSxxx) - Universal, Driver Side</t>
  </si>
  <si>
    <t>PNFWBBFSU01-P</t>
  </si>
  <si>
    <t>Windshield Shroud w/Hardware (no mounting brackets) for nFORCE® Interior Split 2 Piece  Lightbar, 3 Module only  (ENFWBFSxxx) - Universal, Passenger Side</t>
  </si>
  <si>
    <t>PUL3WS2</t>
  </si>
  <si>
    <t>Windshield Shroud for 2 Module UltraLITE (each)</t>
  </si>
  <si>
    <t>PUL3WSS</t>
  </si>
  <si>
    <t>Windshield Shroud for 4 Module UltraLITE (each)</t>
  </si>
  <si>
    <t>PFDBCTRS04B</t>
  </si>
  <si>
    <t>Single Knee Panel w/ Switch - Black</t>
  </si>
  <si>
    <t>PFDBCTRS04S</t>
  </si>
  <si>
    <t>Single Knee Panel w/ Switch - Medium Dark Slate</t>
  </si>
  <si>
    <t>PFDBCTRS04T</t>
  </si>
  <si>
    <t>Single Knee Panel w/ Switch - Baja Tan</t>
  </si>
  <si>
    <t>PSP0SW2</t>
  </si>
  <si>
    <t>Replacement 3-position Slide (no knob) for use w/ #ETSP9F Switch - Black</t>
  </si>
  <si>
    <t>PSRNSW1</t>
  </si>
  <si>
    <t>Replacement Slide Switch for #ETSA481CSR, ETSA482CSR, ETSA481CSP, ETSA482CSP</t>
  </si>
  <si>
    <t>PSP0SWK</t>
  </si>
  <si>
    <t>Replacement 3-position Slide Knob for use w/ #ETSP9F Switch - Black</t>
  </si>
  <si>
    <t>PSRNSWK1</t>
  </si>
  <si>
    <t>Replacement Slide Switch Knob for #ETSA481RSP, #ETSA482RSP</t>
  </si>
  <si>
    <t>PNNLBSPKT1</t>
  </si>
  <si>
    <t>PNNLBTBECSP1</t>
  </si>
  <si>
    <t>Spacer End Bracket for Exterior Lightbar</t>
  </si>
  <si>
    <t>PEMG2HNSW</t>
  </si>
  <si>
    <t>Magnum (EMG2000) Split Warning Jumper Harness/Board</t>
  </si>
  <si>
    <t>PNFLBGTTSTB</t>
  </si>
  <si>
    <t>Strobe Module Kit, includes: strobe module, reflector and bracket - for use with nFORCE Exterior Lightbar</t>
  </si>
  <si>
    <t>PNNLBLSPPRSW</t>
  </si>
  <si>
    <t>Strobe Module Kit, includes: strobe module, reflector and bracket - for use with Exterior Lightbar</t>
  </si>
  <si>
    <t>PFD4CPSAD1</t>
  </si>
  <si>
    <t>Ford 4-Corner Strobe Pattern Selection Switch with Harness for use with GHOST® Multi-Mount &amp; Intersector Surface Mount Lights</t>
  </si>
  <si>
    <t>PUL3WSM</t>
  </si>
  <si>
    <t>Replacement Suction Cup Mounting Kit for UltraLITE includes 2 Suction Cups w/ Brackets &amp; Hardware</t>
  </si>
  <si>
    <t>PNXLBTDVD1</t>
  </si>
  <si>
    <t>Tall Lens Divider for nFUSE® XL Lightbar</t>
  </si>
  <si>
    <t>PNFLBPDKT2</t>
  </si>
  <si>
    <t>Thick Pad for nFORCE® Exterior Standard Fixed Mount &amp; MAGNUM Premium Fixed Mount Lightbars</t>
  </si>
  <si>
    <t>PNFLBPDKT1</t>
  </si>
  <si>
    <t>Thin Pad for nFORCE® Exterior Standard Fixed Mount &amp; MAGNUM Premium Fixed Mount Lightbars</t>
  </si>
  <si>
    <t>PMPSRPSTH</t>
  </si>
  <si>
    <t>Replacement Threaded Stud Hardware for 3" or 4"  (22mm or .86" is total center of stud to center of stud)</t>
  </si>
  <si>
    <t>PMPGLTTB0101</t>
  </si>
  <si>
    <t>4" Top Cover 1 x 1 - Black</t>
  </si>
  <si>
    <t>PMPGLTTB0202</t>
  </si>
  <si>
    <t>4" Top Cover 2 x 2 - Black</t>
  </si>
  <si>
    <t>PMPGLTTS0202</t>
  </si>
  <si>
    <t>4" Top Cover 2 x 2 - Silver</t>
  </si>
  <si>
    <t>PMPLBTBL48</t>
  </si>
  <si>
    <t>48" Top Cover for Exterior Lightbar, Black, compatible with 6" module only</t>
  </si>
  <si>
    <t>PMPLBTBL55</t>
  </si>
  <si>
    <t>55" Top Cover for Exterior Lightbar, Black, compatible with 6" module only</t>
  </si>
  <si>
    <t>PMPLBTSL48</t>
  </si>
  <si>
    <t>48" Top Cover for Exterior Lightbar, Silver, compatible with 6" module only</t>
  </si>
  <si>
    <t>PMPLBTSL55</t>
  </si>
  <si>
    <t>55" Top Cover for Exterior Lightbar, Silver, compatible with 6" module only</t>
  </si>
  <si>
    <t>PNFLBTTDRLBL</t>
  </si>
  <si>
    <t>nFORCE® Exterior Lightbar Top Cover Lexan Blue - Driver Side</t>
  </si>
  <si>
    <t>PNFLBTTDRLGY</t>
  </si>
  <si>
    <t>nFORCE® Exterior Lightbar Top Cover Lexan Gray - Driver Side</t>
  </si>
  <si>
    <t>PNFLBTTDRLRD</t>
  </si>
  <si>
    <t>nFORCE® Exterior Lightbar Top Cover Lexan Red - Driver Side</t>
  </si>
  <si>
    <t>PNFLBTTDRLYL</t>
  </si>
  <si>
    <t>nFORCE® Exterior Lightbar Top Cover Lexan Amber - Driver Side</t>
  </si>
  <si>
    <t>PNFLBTTLGLBL</t>
  </si>
  <si>
    <t>Exterior Lightbar Top Cover Lexan Blue - Large</t>
  </si>
  <si>
    <t>PNFLBTTLGLGY</t>
  </si>
  <si>
    <t>Exterior Lightbar Top Cover Lexan Gray - Large</t>
  </si>
  <si>
    <t>PNFLBTTLGLRD</t>
  </si>
  <si>
    <t>Exterior Lightbar Top Cover Lexan Red - Large</t>
  </si>
  <si>
    <t>PNFLBTTLGLYL</t>
  </si>
  <si>
    <t>Exterior Lightbar Top Cover Lexan Amber - Large</t>
  </si>
  <si>
    <t>PNFLBTTPSLBL</t>
  </si>
  <si>
    <t>nFORCE® Exterior Lightbar Top Cover Lexan Blue - Passenger Side</t>
  </si>
  <si>
    <t>PNFLBTTPSLGY</t>
  </si>
  <si>
    <t>nFORCE® Exterior Lightbar Top Cover Lexan Gray - Passenger Side</t>
  </si>
  <si>
    <t>PNFLBTTPSLRD</t>
  </si>
  <si>
    <t>nFORCE® Exterior Lightbar Top Cover Lexan Red - Passenger Side</t>
  </si>
  <si>
    <t>PNFLBTTPSLYL</t>
  </si>
  <si>
    <t>nFORCE® Exterior Lightbar Top Cover Lexan Amber - Passenger Side</t>
  </si>
  <si>
    <t>PNFLBTTSMLBL</t>
  </si>
  <si>
    <t>Exterior Lightbar Top Cover Lexan Blue - Small</t>
  </si>
  <si>
    <t>PNFLBTTSMLGY</t>
  </si>
  <si>
    <t>Exterior Lightbar Top Cover Lexan Gray - Small</t>
  </si>
  <si>
    <t>PNFLBTTSMLRD</t>
  </si>
  <si>
    <t>Exterior Lightbar Top Cover Lexan Red - Small</t>
  </si>
  <si>
    <t>PNFLBTTSMLYL</t>
  </si>
  <si>
    <t>Exterior Lightbar Top Cover Lexan Amber - Small</t>
  </si>
  <si>
    <t>PNNLBTSLGLA</t>
  </si>
  <si>
    <t>12" Top Cover with Solor Panel for Exterior Lightbar Lexan Amber</t>
  </si>
  <si>
    <t>PNNLBTSLGLB</t>
  </si>
  <si>
    <t>12" Top Cover with Solor Panel for Exterior Lightbar Lexan Blue</t>
  </si>
  <si>
    <t>PNNLBTSLGLC</t>
  </si>
  <si>
    <t>12" Top Cover with Solor Panel for Exterior Lightbar Lexan Clear</t>
  </si>
  <si>
    <t>PNNLBTSLGLG</t>
  </si>
  <si>
    <t>12" Top Cover with Solor Panel for Exterior Lightbar Lexan Graphite</t>
  </si>
  <si>
    <t>PNNLBTSLGLR</t>
  </si>
  <si>
    <t>12" Top Cover with Solor Panel for Exterior Lightbar Lexan Red</t>
  </si>
  <si>
    <t>PNNLBTSLGTA</t>
  </si>
  <si>
    <t>Top Cover with Solar Panel for Exterior Lightbar Translucent Amber</t>
  </si>
  <si>
    <t>PNNLBTSLGTB</t>
  </si>
  <si>
    <t>Top Cover with Solar Panel for Exterior Lightbar Translucent Blue</t>
  </si>
  <si>
    <t>PNNLBTSLGTR</t>
  </si>
  <si>
    <t>Top Cover with Solar Panel for Exterior Lightbar Translucent Red</t>
  </si>
  <si>
    <t>PNNLBTSLGTS</t>
  </si>
  <si>
    <t>Top Cover with Solar Panel for Exterior Lightbar Translucent Tinted</t>
  </si>
  <si>
    <t>PNNLBTTE0LA</t>
  </si>
  <si>
    <t>End Top Cover for Exterior Lightbar without Lens Amber</t>
  </si>
  <si>
    <t>PNNLBTTE0LB</t>
  </si>
  <si>
    <t>End Top Cover for Exterior Lightbar without Lens Blue</t>
  </si>
  <si>
    <t>PNNLBTTE0LC</t>
  </si>
  <si>
    <t>End Top Cover for Exterior Lightbar without Lens Clear</t>
  </si>
  <si>
    <t>PNNLBTTE0LG</t>
  </si>
  <si>
    <t>End Top Cover for Exterior Lightbar without Lens Graphite</t>
  </si>
  <si>
    <t>PNNLBTTE0LR</t>
  </si>
  <si>
    <t>End Top Cover for Exterior Lightbar without Lens Red</t>
  </si>
  <si>
    <t>PNNLBTTE0TA</t>
  </si>
  <si>
    <t>End Top Cover for Exterior Lightbar without Lens Translucent Amber</t>
  </si>
  <si>
    <t>PNNLBTTE0TB</t>
  </si>
  <si>
    <t>End Top Cover for Exterior Lightbar without Lens Translucent Blue</t>
  </si>
  <si>
    <t>PNNLBTTE0TR</t>
  </si>
  <si>
    <t>End Top Cover for Exterior Lightbar without Lens Translucent Red</t>
  </si>
  <si>
    <t>PNNLBTTE0TS</t>
  </si>
  <si>
    <t>End Top Cover for Exterior Lightbar without Lens Translucent Tinted</t>
  </si>
  <si>
    <t>PNNLBTTEALA</t>
  </si>
  <si>
    <t>End Top Cover for Exterior Lightbar with Lens Amber</t>
  </si>
  <si>
    <t>PNNLBTTEALB</t>
  </si>
  <si>
    <t>End Top Cover for Exterior Lightbar with Lens Bluer</t>
  </si>
  <si>
    <t>PNNLBTTEALG</t>
  </si>
  <si>
    <t>End Top Cover for Exterior Lightbar with Lens Graphite</t>
  </si>
  <si>
    <t>PNNLBTTEALR</t>
  </si>
  <si>
    <t>End Top Cover for Exterior Lightbar with Lens Red</t>
  </si>
  <si>
    <t>PNNLBTTEATA</t>
  </si>
  <si>
    <t>End Top Cover for Exterior Lightbar with Lens Translucent Amber</t>
  </si>
  <si>
    <t>PNNLBTTEATB</t>
  </si>
  <si>
    <t>End Top Cover for Exterior Lightbar with Lens Translucent Blue</t>
  </si>
  <si>
    <t>PNNLBTTEATR</t>
  </si>
  <si>
    <t>End Top Cover for Exterior Lightbar with Lens Translucent Red</t>
  </si>
  <si>
    <t>PNNLBTTEATS</t>
  </si>
  <si>
    <t>End Top Cover for Exterior Lightbar with Lens Translucent Tinted</t>
  </si>
  <si>
    <t>PNNLBTTLGLA</t>
  </si>
  <si>
    <t>12" Top Cover for Exterior Lightbar Lexan Amber</t>
  </si>
  <si>
    <t>PNNLBTTLGLB</t>
  </si>
  <si>
    <t>12" Top Cover for Exterior Lightbar Lexan Blue</t>
  </si>
  <si>
    <t>PNNLBTTLGLC</t>
  </si>
  <si>
    <t>12" Top Cover for Exterior Lightbar Lexan Clear</t>
  </si>
  <si>
    <t>PNNLBTTLGLG</t>
  </si>
  <si>
    <t>12" Top Cover for Exterior Lightbar Lexan Graphite</t>
  </si>
  <si>
    <t>PNNLBTTLGLR</t>
  </si>
  <si>
    <t>12" Top Cover for Exterior Lightbar Lexan Red</t>
  </si>
  <si>
    <t>PNNLBTTLGTA</t>
  </si>
  <si>
    <t>12" Top Cover for Exterior Lightbar Translucent Amber</t>
  </si>
  <si>
    <t>PNNLBTTLGTB</t>
  </si>
  <si>
    <t>12" Top Cover for Exterior Lightbar Translucent Blue</t>
  </si>
  <si>
    <t>PNNLBTTLGTR</t>
  </si>
  <si>
    <t>12" Top Cover for Exterior Lightbar Translucent Red</t>
  </si>
  <si>
    <t>PNNLBTTLGTS</t>
  </si>
  <si>
    <t>12" Top Cover for Exterior Lightbar Translucent Tinted</t>
  </si>
  <si>
    <t>PNNLBTTSMLA</t>
  </si>
  <si>
    <t>6" Top Cover for Exterior Lightbar Lexan Amber</t>
  </si>
  <si>
    <t>PNNLBTTSMLB</t>
  </si>
  <si>
    <t>6" Top Cover for Exterior Lightbar Lexan Blue</t>
  </si>
  <si>
    <t>PNNLBTTSMLC</t>
  </si>
  <si>
    <t>6" Top Cover for Exterior Lightbar Lexan Clear</t>
  </si>
  <si>
    <t>PNNLBTTSMLG</t>
  </si>
  <si>
    <t>6" Top Cover for Exterior Lightbar Lexan Graphite</t>
  </si>
  <si>
    <t>PNNLBTTSMLR</t>
  </si>
  <si>
    <t>6" Top Cover for Exterior Lightbar Lexan Red</t>
  </si>
  <si>
    <t>PNNLBTTSMTA</t>
  </si>
  <si>
    <t>6" Top Cover for Exterior Lightbar Translucent Amber</t>
  </si>
  <si>
    <t>PNNLBTTSMTB</t>
  </si>
  <si>
    <t>6" Top Cover for Exterior Lightbar Translucent Blue</t>
  </si>
  <si>
    <t>PNNLBTTSMTR</t>
  </si>
  <si>
    <t>6" Top Cover for Exterior Lightbar Translucent Red</t>
  </si>
  <si>
    <t>PNNLBTTSMTS</t>
  </si>
  <si>
    <t>6" Top Cover for Exterior Lightbar Translucent Tinted</t>
  </si>
  <si>
    <t>PRMLBTTDRLBL</t>
  </si>
  <si>
    <t>Exterior Lightbar Top Cover Lexan Blue - Driver Side</t>
  </si>
  <si>
    <t>PRMLBTTDRLGY</t>
  </si>
  <si>
    <t>Exterior Lightbar Top Cover Lexan Graphite - Driver Side</t>
  </si>
  <si>
    <t>PRMLBTTDRLRD</t>
  </si>
  <si>
    <t>Exterior Lightbar Top Cover Lexan Red - Driver Side</t>
  </si>
  <si>
    <t>PRMLBTTDRLYL</t>
  </si>
  <si>
    <t>Exterior Lightbar Top Cover Lexan Amber - Driver Side</t>
  </si>
  <si>
    <t>PRMLBTTPSLBL</t>
  </si>
  <si>
    <t>Exterior Lightbar Top Cover Lexan Blue - Passenger Side</t>
  </si>
  <si>
    <t>PRMLBTTPSLGY</t>
  </si>
  <si>
    <t>Exterior Lightbar Top Cover Lexan Graphite - Passenger Side</t>
  </si>
  <si>
    <t>PRMLBTTPSLRD</t>
  </si>
  <si>
    <t>Exterior Lightbar Top Cover Lexan Red - Passenger Side</t>
  </si>
  <si>
    <t>PRMLBTTPSLYL</t>
  </si>
  <si>
    <t>Exterior Lightbar Top Cover Lexan Amber - Passenger Side</t>
  </si>
  <si>
    <t>Top Cover Screw Kit</t>
  </si>
  <si>
    <t>PNFLBTCSKT1</t>
  </si>
  <si>
    <t>nFORCE® Exterior Lightbar Top Cover Screw Kit</t>
  </si>
  <si>
    <t>PNNLBTCSKT1</t>
  </si>
  <si>
    <t>PNULBTCSKT1</t>
  </si>
  <si>
    <t>PNULBTCSKT2</t>
  </si>
  <si>
    <t>PNFWBTE001</t>
  </si>
  <si>
    <t>nFORCE® Interior Lightbar Thin Trim Edge</t>
  </si>
  <si>
    <t>PNFWBTE003</t>
  </si>
  <si>
    <t>nFORCE® Interior Lightbar Thick Trim Edge</t>
  </si>
  <si>
    <t>PFD4CTRDG1B</t>
  </si>
  <si>
    <t>Ford F-150 4-Corner Trim Panel w/Standalone Switch for Dual Color Light Kits</t>
  </si>
  <si>
    <t>PFD4CTRMA</t>
  </si>
  <si>
    <t>Ford 4-Corner Adobe Trim Panel w/Standalone Switch</t>
  </si>
  <si>
    <t>PFD4CTRMB</t>
  </si>
  <si>
    <t>Ford 4-Corner Charcoal Black Trim Panel w/Standalone Switch</t>
  </si>
  <si>
    <t>PFD4CTRMG</t>
  </si>
  <si>
    <t>Ford 4-Corner Steel Gray Trim Panel w/Standalone Switch</t>
  </si>
  <si>
    <t>PFD4CTRS01B</t>
  </si>
  <si>
    <t>Ford F-150 Task Light Trim Panel w/Standalone Switch</t>
  </si>
  <si>
    <t>PFD4CTRS02B</t>
  </si>
  <si>
    <t>Ford Super Duty Task Light Trim Panel w/Standalone Switch</t>
  </si>
  <si>
    <t>PFD4CTRSG1B</t>
  </si>
  <si>
    <t>Ford F-150 4-Corner Trim Panel w/Standalone Switch for Single Color Light Kits</t>
  </si>
  <si>
    <t>PFD4CTRSG2B</t>
  </si>
  <si>
    <t>Ford Super Duty 4-Corner Trim Panel w/Standalone Switch for Single Color Light Kits</t>
  </si>
  <si>
    <t>PFDBCTRS02B</t>
  </si>
  <si>
    <t>Ford Super Duty Task Light Trim Panel w/Standalone Pattern Select Switch</t>
  </si>
  <si>
    <t>PFDBCTRS05S</t>
  </si>
  <si>
    <t>Ford Super Duty Task Light Trim Panel, Slate w/Standalone Pattern Select Switch</t>
  </si>
  <si>
    <t>PFDBCTRS05T</t>
  </si>
  <si>
    <t>Ford Super Duty Task Light Trim Panel, Tan w/Standalone Pattern Select Switch</t>
  </si>
  <si>
    <t>PNFLBWGKT1</t>
  </si>
  <si>
    <t>nFORCE® Exterior Lightbar Wedge Kit</t>
  </si>
  <si>
    <t>PNT1WDG</t>
  </si>
  <si>
    <t>Replacement Custom Wedges for Intersector - 0, 5 &amp; 10 Degree Wedges</t>
  </si>
  <si>
    <t>PMP2WSHK01</t>
  </si>
  <si>
    <t>Window Shroud Single Clip Kit, a narrow clip for use with mpower® 4", 3" Light Window Shroud Kits</t>
  </si>
  <si>
    <t>PMP2WSHK02</t>
  </si>
  <si>
    <t>Dual Window Shroud Clip Kit, for use with Dual Window Shroud Kits, mpower® 3", 4", 4x2 Lights and Window Shroud Kit, 4x2 Light</t>
  </si>
  <si>
    <t>PNFWBMSMU01</t>
  </si>
  <si>
    <t>Windshield Shroud Slide Plate w/ Hardware for nFORCE® Interior Split 2 Piece Lightbar (ENFWBFSxxx) – 3 Module Universal</t>
  </si>
  <si>
    <t>PNFLBWMKT1</t>
  </si>
  <si>
    <t>nFORCE® Exterior Lightbar Wire Management Kit</t>
  </si>
  <si>
    <t>3-Wire Isolation Module</t>
  </si>
  <si>
    <t>ENGHNK07</t>
  </si>
  <si>
    <t>PMP2BK001</t>
  </si>
  <si>
    <t>6" Oval Mounting Kit for use with 3", 4" Stud Mounts &amp; 4x2 Lights, includes: Bracket, grommet and plate</t>
  </si>
  <si>
    <t>PMP7WD001</t>
  </si>
  <si>
    <t>15° Wedge, Black, for use with 6x4 Screw Mount Lights</t>
  </si>
  <si>
    <t>PMP8WD001</t>
  </si>
  <si>
    <t>15° Wedge, Black, for use with 7x3 Screw Mount Lights</t>
  </si>
  <si>
    <t>PFDBCBZB1</t>
  </si>
  <si>
    <t>Outer Black Bezel</t>
  </si>
  <si>
    <t>PFDBCBZB2</t>
  </si>
  <si>
    <t>Inner Black Bezel</t>
  </si>
  <si>
    <t>PLUC2HSB</t>
  </si>
  <si>
    <t>Surface Mount Bezel for Universal UnderCover®, Single - Black</t>
  </si>
  <si>
    <t>PLUC2HSC</t>
  </si>
  <si>
    <t>Surface Mount Bezel for Universal UnderCover®, Single - Chrome</t>
  </si>
  <si>
    <t>PLUC2HSW</t>
  </si>
  <si>
    <t>Surface Mount Bezel for Universal UnderCover®, Single - White</t>
  </si>
  <si>
    <t>PMP1BZL01B</t>
  </si>
  <si>
    <t>Black 3" Bezel (includes gasket &amp; hardware kit) for use with mpower® Fascia 3" Screw Mount</t>
  </si>
  <si>
    <t>PMP1BZL01C</t>
  </si>
  <si>
    <t>Chrome 3" Bezel (includes gasket &amp; hardware kit) for use with mpower® Fascia 3" Screw Mount</t>
  </si>
  <si>
    <t>PMP1BZL01P</t>
  </si>
  <si>
    <t>Primed 3" Bezel (includes gasket &amp; hardware kit) for use with mpower® Fascia 3" Screw Mount</t>
  </si>
  <si>
    <t>PMP4BZL01B</t>
  </si>
  <si>
    <t>Black 4" Bezel (includes gasket &amp; hardware kit) for use with mpower® HD Stud &amp; Quick Mount Lights</t>
  </si>
  <si>
    <t>PMP4BZL01C</t>
  </si>
  <si>
    <t>Chrome 4" Bezel (includes gasket &amp; hardware kit) for use with mpower® HD Stud or Quick Mount Lights</t>
  </si>
  <si>
    <t>PMP4BZL01P</t>
  </si>
  <si>
    <t>Primed 4" Bezel (includes gasket &amp; hardware kit) for use with mpower® HD Stud or Quick Mount Lights</t>
  </si>
  <si>
    <t>PMP4BZL02B</t>
  </si>
  <si>
    <t>Black 4" Bezel (includes gasket &amp; hardware kit) for use with mpower® HD Quick Mount Lights</t>
  </si>
  <si>
    <t>PMP4BZL02C</t>
  </si>
  <si>
    <t>Chrome 4" Bezel (includes gasket &amp; hardware kit) for use with mpower® HD Quick Mount Lights</t>
  </si>
  <si>
    <t>PMP4BZL02P</t>
  </si>
  <si>
    <t>Primed 4" Bezel (includes gasket &amp; hardware kit) for use with mpower® HD Quick Mount Lights</t>
  </si>
  <si>
    <t>PMP4BZL03B</t>
  </si>
  <si>
    <t>Black 2 Module 4" Bezel (includes gasket &amp; hardware kit) for use with mpower® HD Stud Mount Light</t>
  </si>
  <si>
    <t>PMP4BZL03C</t>
  </si>
  <si>
    <t>Chrome 2 Module 4" Bezel (includes gasket &amp; hardware kit) for use with mpower® HD Stud Mount Light</t>
  </si>
  <si>
    <t>PMP4BZL04B</t>
  </si>
  <si>
    <t>Black 2 Module 4" Bezel (includes gasket &amp; hardware kit) for use with mpower® HD Mount Light</t>
  </si>
  <si>
    <t>PMP7BZL01B</t>
  </si>
  <si>
    <t>Black Single Bezel (includes gasket &amp; hardware) for use with mpower® 6x4 Screw or Stud Mount Lights</t>
  </si>
  <si>
    <t>PMP7BZL01C</t>
  </si>
  <si>
    <t>Chrome Single Bezel (includes gasket &amp; hardware) for use with mpower® 6x4 Screw or Stud Mount Lights</t>
  </si>
  <si>
    <t>PMP7BZL12C</t>
  </si>
  <si>
    <t>Chrome Double Bezel (includes gasket &amp; hardware) for use with (2) mpower® 6x4 Screw Mount Lights</t>
  </si>
  <si>
    <t>PMP7BZL13B</t>
  </si>
  <si>
    <t>Black Triple Bezel (includes gasket &amp; hardware) for use with (3) mpower® 6x4 Screw Mount Lights</t>
  </si>
  <si>
    <t>PMP7BZL13C</t>
  </si>
  <si>
    <t>Chrome Triple Bezel (includes gasket &amp; hardware) for use with (3) mpower® 6x4 Screw Mount Lights</t>
  </si>
  <si>
    <t>PMP7BZL14B</t>
  </si>
  <si>
    <t>Black Quad Bezel (includes gasket &amp; hardware) for use with (4) mpower® 6x4 Screw Mount Lights</t>
  </si>
  <si>
    <t>PMP7BZL14C</t>
  </si>
  <si>
    <t>Chrome Quad Bezel (includes gasket &amp; hardware) for use with (4) mpower® 6x4 Screw Mount Lights</t>
  </si>
  <si>
    <t>PMP8BZL01B</t>
  </si>
  <si>
    <t>Black Single Bezel (includes gasket &amp; hardware) for use with mpower® 7x3 Screw or Stud Mount Lights</t>
  </si>
  <si>
    <t>PMP8BZL01C</t>
  </si>
  <si>
    <t>Chrome Single Bezel (includes gasket &amp; hardware) for use with mpower® 7x3 Screw or Stud Mount Lights</t>
  </si>
  <si>
    <t>PMP8BZL12B</t>
  </si>
  <si>
    <t>Black Double Bezel (includes gasket &amp; hardware) for use with (2) mpower® 7x3 Screw Mount Lights</t>
  </si>
  <si>
    <t>PMP8BZL12C</t>
  </si>
  <si>
    <t>Chrome Double Bezel (includes gasket &amp; hardware) for use with (2) mpower® 7x3 Screw Mount Lights</t>
  </si>
  <si>
    <t>PMP8BZL13B</t>
  </si>
  <si>
    <t>Black Triple Bezel (includes gasket &amp; hardware) for use with (3) mpower® 7x3 Screw Mount Lights</t>
  </si>
  <si>
    <t>PMP8BZL13C</t>
  </si>
  <si>
    <t>Chrome Triple Bezel (includes gasket &amp; hardware) for use with (3) mpower® 7x3 Screw Mount Lights</t>
  </si>
  <si>
    <t>PMP8BZL14B</t>
  </si>
  <si>
    <t>Black Quad Bezel (includes gasket &amp; hardware) for use with (4) mpower® 7x3 Screw Mount Lights</t>
  </si>
  <si>
    <t>PMP8BZL14C</t>
  </si>
  <si>
    <t>Chrome Quad Bezel (includes gasket &amp; hardware) for use with (4) mpower® 7x3 Screw Mount Lights</t>
  </si>
  <si>
    <t>PMP8BZL22B</t>
  </si>
  <si>
    <t>Black Double Bezel w/ 15 Degree Tilt (includes gasket &amp; hardware) for use with (2) mpower® 7x3 Screw Mount Lights on Ford Transit 2013-2025</t>
  </si>
  <si>
    <t>PMP8BZL22C</t>
  </si>
  <si>
    <t>Chrome Double Bezel w/ 15 Degree Tilt (includes gasket &amp; hardware) for use with (2) mpower® 7x3 Screw Mount Lights on Ford Transit 2013-2025</t>
  </si>
  <si>
    <t>PMP8BZL32B</t>
  </si>
  <si>
    <t>Black Double Bezel w/ 15 Degree Tilt (includes gasket &amp; hardware kit) for use with (2) mpower® 7x3 Screw Mount Lights</t>
  </si>
  <si>
    <t>PMP8BZL32C</t>
  </si>
  <si>
    <t>Chrome Double Bezel w/ 15 Degree Tilt (includes gasket &amp; hardware kit) for use with (2) mpower® 7x3 Screw Mount Lights</t>
  </si>
  <si>
    <t>PMP8BZV001B</t>
  </si>
  <si>
    <t>Black Double Bezel w/ 15 Degree Tilt (includes gasket &amp; hardware) for use with (2) mpower® 7x3 Screw Mount Lights on Mercedes Sprinter 2019-2022, Front Left Side</t>
  </si>
  <si>
    <t>PMP8BZV001C</t>
  </si>
  <si>
    <t>Chrome Double Bezel w/ 15 Degree Tilt (includes gasket &amp; hardware) for use with (2) mpower® 7x3 Screw Mount Lights on Mercedes Sprinter 2019-2022, Front Left Side</t>
  </si>
  <si>
    <t>PMP8BZV002B</t>
  </si>
  <si>
    <t>Black Double Bezel w/ 15 Degree Tilt (includes gasket &amp; hardware) for use with (2) mpower® 7x3 Screw Mount Lights on Mercedes Sprinter 2019-2022, Front Right Side</t>
  </si>
  <si>
    <t>PMP8BZV002C</t>
  </si>
  <si>
    <t>Chrome Double Bezel w/ 15 Degree Tilt (includes gasket &amp; hardware) for use with (2) mpower® 7x3 Screw Mount Lights on Mercedes Sprinter 2019-2022, Front Right Side</t>
  </si>
  <si>
    <t>PMP8BZV003B</t>
  </si>
  <si>
    <t>Black Double Bezel w/ 15 Degree Tilt (includes gasket &amp; hardware) for use with (2) mpower® 7x3 Screw Mount Lights on Mercedes Sprinter 2019-2022, Rear Side</t>
  </si>
  <si>
    <t>PMP8BZV003C</t>
  </si>
  <si>
    <t>Chrome Double Bezel w/ 15 Degree Tilt (includes gasket &amp; hardware) for use with (2) mpower® 7x3 Screw Mount  Lights on Mercedes Sprinter 2019-2022, Rear Side</t>
  </si>
  <si>
    <t>PMP9BZL01B</t>
  </si>
  <si>
    <t>Black Single Bezel (includes gasket) for use with mpower® 9x7 Screw or Stud Mount Lights</t>
  </si>
  <si>
    <t>PMP9BZL01C</t>
  </si>
  <si>
    <t>Chrome Single Bezel (includes gasket) for use with mpower® 9x7 Screw or Stud Mount Lights</t>
  </si>
  <si>
    <t>PMPSABZ01B</t>
  </si>
  <si>
    <t>Black 4" Bezel (includes gasket &amp; hardware kit) for use with mpower® Fascia 4" Screw Mount Lights</t>
  </si>
  <si>
    <t>PMPSABZ01C</t>
  </si>
  <si>
    <t>Chrome 4" Bezel (includes gasket &amp; hardware kit) for use with mpower® Fascia 4" Screw Mount Lights</t>
  </si>
  <si>
    <t>PMPSABZ01P</t>
  </si>
  <si>
    <t>Primed 4" Bezel (includes gasket &amp; hardware kit) for use with mpower® Fascia 4" Screw Mount Lights</t>
  </si>
  <si>
    <t>PMPSABZ02B</t>
  </si>
  <si>
    <t>Black 4x2 Bezel (includes gasket &amp; hardware kit) for use with mpower® Fascia 4x2 Screw Mount Lights</t>
  </si>
  <si>
    <t>PMPSABZ02C</t>
  </si>
  <si>
    <t>Chrome 4x2 Bezel (includes gasket &amp; hardware kit) for use with mpower® Fascia 4x2 Screw Mount Lights</t>
  </si>
  <si>
    <t>PMPSABZ02P</t>
  </si>
  <si>
    <t>Primed 4x2 Bezel (includes gasket &amp; hardware kit) for use with mpower® Fascia 4x2 Screw Mount Lights</t>
  </si>
  <si>
    <t>PNT3SMBB</t>
  </si>
  <si>
    <t>Surface Mount Bezel for Intersector - Black</t>
  </si>
  <si>
    <t>PNT3SMBC</t>
  </si>
  <si>
    <t>Surface Mount Bezel for Intersector - Chrome</t>
  </si>
  <si>
    <t>PNT3SMBW</t>
  </si>
  <si>
    <t>Surface Mount Bezel for Intersector - White</t>
  </si>
  <si>
    <t>PNT3SMGS</t>
  </si>
  <si>
    <t>Surface Mount Gasket for Intersector</t>
  </si>
  <si>
    <t>PPS7BZL01B</t>
  </si>
  <si>
    <t>Black Single Bezel (includes gasket &amp; hardware) for use with 6x4 P Screw Mount Lights</t>
  </si>
  <si>
    <t>PPS7BZL01C</t>
  </si>
  <si>
    <t>Chrome Single Bezel (includes gasket &amp; hardware) for use with 6x4 P Screw Mount Lights</t>
  </si>
  <si>
    <t>PPS7BZL12B</t>
  </si>
  <si>
    <t>Black Double Bezel (includes gasket &amp; hardware) for use with (2) 6x4 P Screw Mount Lights</t>
  </si>
  <si>
    <t>PPS7BZL12C</t>
  </si>
  <si>
    <t>Chrome Double Bezel (includes gasket &amp; hardware) for use with (2) 6x4 P Screw Mount  Lights</t>
  </si>
  <si>
    <t>PPS7BZL13B</t>
  </si>
  <si>
    <t>Black Triple Bezel (includes gasket &amp; hardware) for use with (3) 6x4 P Screw Mount Lights</t>
  </si>
  <si>
    <t>PPS7BZL13C</t>
  </si>
  <si>
    <t>Chrome Triple Bezel (includes gasket &amp; hardware) for use with (3) 6x4 P Screw Mount Lights</t>
  </si>
  <si>
    <t>PPS7BZL14B</t>
  </si>
  <si>
    <t>Black Quad Bezel (includes gasket &amp; hardware) for use with (4) 6x4 P Screw Mount Lights</t>
  </si>
  <si>
    <t>PPS7BZL14C</t>
  </si>
  <si>
    <t>Chrome Quad Bezel (includes gasket &amp; hardware) for use with (4) 6x4 P Screw Mount Lights</t>
  </si>
  <si>
    <t>PPS8BZL01B</t>
  </si>
  <si>
    <t>Black Single Bezel (includes gasket &amp; hardware) for use with 7x3 P Screw Mount Lights</t>
  </si>
  <si>
    <t>PPS8BZL01C</t>
  </si>
  <si>
    <t>Chrome Single Bezel (includes gasket &amp; hardware) for use with 7x3 P Screw Mount Lights</t>
  </si>
  <si>
    <t>PPS8BZL12B</t>
  </si>
  <si>
    <t>Black Double Bezel (includes gasket &amp; hardware) for use with (2) 7x3 P Screw Mount Lights</t>
  </si>
  <si>
    <t>PPS8BZL12C</t>
  </si>
  <si>
    <t>Chrome Double Bezel (includes gasket &amp; hardware) for use with (2) 7x3 P Screw Mount Lights</t>
  </si>
  <si>
    <t>PPS8BZL13B</t>
  </si>
  <si>
    <t>Black Triple Bezel (includes gasket &amp; hardware) for use with (3) 7x3 P Screw Mount Lights</t>
  </si>
  <si>
    <t>PPS8BZL13C</t>
  </si>
  <si>
    <t>Chrome Triple Bezel (includes gasket &amp; hardware) for use with (3) 7x3 P Screw Mount Lights</t>
  </si>
  <si>
    <t>PPS8BZL14B</t>
  </si>
  <si>
    <t>Black Quad Bezel (includes gasket &amp; hardware) for use with (4) 7x3 P Screw Mount Lights</t>
  </si>
  <si>
    <t>PPS8BZL14C</t>
  </si>
  <si>
    <t>Chrome Quad Bezel (includes gasket &amp; hardware) for use with (4) 7x3 P Screw Mount Lights</t>
  </si>
  <si>
    <t>PPS8BZL22B</t>
  </si>
  <si>
    <t>Black Double Bezel w/ 15 Degree Tilt (includes gasket &amp; hardware) for use with (2) 7x3 P Screw Mount Lights on Ford Transit 2013-2022</t>
  </si>
  <si>
    <t>PPS8BZL22C</t>
  </si>
  <si>
    <t>Chrome Double Bezel w/ 15 Degree Tilt (includes gasket &amp; hardware) for use with (2) 7x3 P Screw Mount Lights on Ford Transit 2013-2022</t>
  </si>
  <si>
    <t>PPS8BZL32B</t>
  </si>
  <si>
    <t>Black Double Bezel w/ 15 Degree Tilt (includes gasket &amp; hardware) for use with (2) 7x3 P Screw Mount Lights</t>
  </si>
  <si>
    <t>PPS8BZL32C</t>
  </si>
  <si>
    <t>Chrome Double Bezel w/ 15 Degree Tilt (includes gasket &amp; hardware) for use with (2) 7x3 P Screw Mount Lights</t>
  </si>
  <si>
    <t>PPS8BZV001B</t>
  </si>
  <si>
    <t>Black Double Bezel w/ 15 Degree Tilt (includes gasket &amp; hardware) for use with (2) 7x3 P Screw Mount Lights on Mercedes Sprinter 2019-2022, Front Left Side</t>
  </si>
  <si>
    <t>PPS8BZV001C</t>
  </si>
  <si>
    <t>Chrome Double Bezel w/ 15 Degree Tilt (includes gasket &amp; hardware) for use with (2) 7x3 P Screw Mount Lights on Mercedes Sprinter 2019-2022, Front Left Side</t>
  </si>
  <si>
    <t>PPS8BZV002B</t>
  </si>
  <si>
    <t>Black Double Bezel w/ 15 Degree Tilt (includes gasket &amp; hardware) for use with (2) 7x3 P Screw Mount Lights on Mercedes Sprinter 2019-2022, Front Right Side</t>
  </si>
  <si>
    <t>PPS8BZV002C</t>
  </si>
  <si>
    <t>Chrome Double Bezel w/ 15 Degree Tilt (includes gasket &amp; hardware) for use with (2) 7x3 P Screw Mount Lights on Mercedes Sprinter 2019-2022, Front Right Side</t>
  </si>
  <si>
    <t>PPS8BZV003B</t>
  </si>
  <si>
    <t>Black Double Bezel w/ 15 Degree Tilt (includes gasket &amp; hardware) for use with (2) 7x3 P Screw Mount Lights on Mercedes Sprinter 2019-2022, Rear Side</t>
  </si>
  <si>
    <t>PPS8BZV003C</t>
  </si>
  <si>
    <t>Chrome Double Bezel w/ 15 Degree Tilt (includes gasket &amp; hardware) for use with (2) 7x3 P Screw Mount Lights on Mercedes Sprinter 2019-2022, Rear Side</t>
  </si>
  <si>
    <t>PPS9BZL01B</t>
  </si>
  <si>
    <t>Black Bezel (includes gasket &amp; hardware) for use with 9x7 P Screw or Stud Mount Warning Lights</t>
  </si>
  <si>
    <t>PPS9BZL01C</t>
  </si>
  <si>
    <t>Chrome Bezel (includes gasket &amp; hardware) for use with 9x7 P Screw or Stud Mount Warning Lights</t>
  </si>
  <si>
    <t>PPS9BZL02B</t>
  </si>
  <si>
    <t>Black Bezel (includes gasket &amp; hardware) for use with 9x7 P Screw or Stud Mount Scene Lights</t>
  </si>
  <si>
    <t>PPS9BZL02C</t>
  </si>
  <si>
    <t>Chrome Bezel (includes gasket &amp; hardware) for use with 9x7 P Scene Lights</t>
  </si>
  <si>
    <t>PSS100BK002</t>
  </si>
  <si>
    <t>Speaker Cover and Bracket for 100J Series Speaker, Black</t>
  </si>
  <si>
    <t>EL3SNBRK190</t>
  </si>
  <si>
    <t>90° Single Bracket, Vertical or Horizontal Mount for LED3 Mini Lights (each)</t>
  </si>
  <si>
    <t>EL3SNBRK1GRU</t>
  </si>
  <si>
    <t>Universal Grille Bracket for LED3 Mini Lights (each)</t>
  </si>
  <si>
    <t>EL3SNBRK2LPH</t>
  </si>
  <si>
    <t>License Plate Bracket, Horizontal Mount for LED3 Mini Lights - mounts 2 lights, one on each side of the license plate (each)</t>
  </si>
  <si>
    <t>EL3SNBRK2LPV</t>
  </si>
  <si>
    <t>License Plate Bracket, Vertical Mount for LED3 Mini Lights - mounts 2 lights, one on each side of the license plate (each)</t>
  </si>
  <si>
    <t>ETRDBK001</t>
  </si>
  <si>
    <t>Speaker Bracket Kit for use with the 100J Speaker</t>
  </si>
  <si>
    <t>ETSS100CBKDC11</t>
  </si>
  <si>
    <t>100C/100J/100N Series Speaker Bracket (drill required) for Dodge Charger 2011 - 2024, Bumper Mount Center</t>
  </si>
  <si>
    <t>ETSS100CBKDC15</t>
  </si>
  <si>
    <t>100C/100J/100N Series Speaker Bracket (no drill) for Dodge Charger 2015 - 2024, Bumper Mount Center</t>
  </si>
  <si>
    <t>ETSSLFVBK01</t>
  </si>
  <si>
    <t>Aftershock Speaker Bracket (drill required) for Dodge Durango 2016 - 2020, Frame Mount Center</t>
  </si>
  <si>
    <t>ETSSLFVBK02</t>
  </si>
  <si>
    <t>Aftershock Speaker Bracket (no drill) for Dodge Durango 2016 - 2025, Frame Mount Passenger Side</t>
  </si>
  <si>
    <t>ETSSLFVBK03</t>
  </si>
  <si>
    <t>Aftershock Speaker Bracket (no drill) for Ford Utility 2015 - 2019, Frame Mount Driver Side</t>
  </si>
  <si>
    <t>ETSSLFVBK07</t>
  </si>
  <si>
    <t>Aftershock Speaker Bracket (no drill) for Ford Utility 2020 - 2025, Frame Mount Passenger Side</t>
  </si>
  <si>
    <t>ETSSLFVBK08</t>
  </si>
  <si>
    <t>Aftershock Speaker Bracket (no drill) for Dodge Charger 2011 - 2024, Bumper Mount Driver Side</t>
  </si>
  <si>
    <t>ETSSLFVBK09</t>
  </si>
  <si>
    <t>Aftershock Speaker Bracket (no drill) for Ford Utility 2020 - 2025, Frame Mount Driver Side</t>
  </si>
  <si>
    <t>ETSSLFVBK10</t>
  </si>
  <si>
    <t>Aftershock Speaker Bracket (no drill) capable of holding up to two speakers for Chevrolet Silverado 1500 SSV only 2019.5 - 2025, Frame Mount Center</t>
  </si>
  <si>
    <t>ETSSLFVBK11</t>
  </si>
  <si>
    <t>Aftershock Speaker Bracket (no drill) capable of holding up to two speakers for Ford F-150 2018 - 2024, Frame Mount Center</t>
  </si>
  <si>
    <t>ETSSLFVBK12</t>
  </si>
  <si>
    <t>Aftershock Speaker Bracket (no drill) for Dodge Ram 1500 (Classic/SSV) 2014 - 2024 capable of holding up to two kits, Frame Mount Driver/Passenger Side</t>
  </si>
  <si>
    <t>ETSSLFVBK13</t>
  </si>
  <si>
    <t>Aftershock Speaker Bracket (no drill) for Chevrolet Tahoe Pursuit &amp; Civilian 2021 - 2024, Frame Mount Driver Side</t>
  </si>
  <si>
    <t>ETSSLFVBK14</t>
  </si>
  <si>
    <t>Aftershock Speaker Bracket (no drill) for Chevrolet Tahoe Pursuit &amp; Civilian 2021 - 2025, Frame Mount Passenger Side</t>
  </si>
  <si>
    <t>ETSSLFVBK15</t>
  </si>
  <si>
    <t>Aftershock Speaker Bracket (no drill) for the Dodge Ram 1500 (5th generation only) 2019 - 2025, Frame Mount/Driver Side</t>
  </si>
  <si>
    <t>ETSSLFVBK16</t>
  </si>
  <si>
    <t>Aftershock Speaker Bracket (no drill) for the Dodge Ram 1500 (5th generation only) 2019 - 2025, Frame Mount/Passenger Side</t>
  </si>
  <si>
    <t>ETSSLFVBK18</t>
  </si>
  <si>
    <t>Aftershock Speaker Bracket (no drill) for Toyota Grand Highlander 2024 - 2025, Frame Mount Passenger Side</t>
  </si>
  <si>
    <t>ETSSVBK01</t>
  </si>
  <si>
    <t>100N/100J/100U Series Speaker Bracket (no drill) for Ford PI Utility 2020 - 2025. The vehicle can hold up to two kits (sold individually), Bumper Mount Center</t>
  </si>
  <si>
    <t>ETSSVBK02</t>
  </si>
  <si>
    <t>100N/100J/100U Series Speaker Bracket (no drill) for Chevrolet Silverado 1500 2019.5 - 2025, Radiator Support Mount Driver Side</t>
  </si>
  <si>
    <t>ETSSVBK03</t>
  </si>
  <si>
    <t>100N/100J/100U Series Speaker Bracket (no drill) for Chevrolet Silverado 1500 2019.5 - 2025, Radiator Support Mount Passenger Side</t>
  </si>
  <si>
    <t>ETSSVBK04</t>
  </si>
  <si>
    <t>100N/100J Series Speaker Bracket (no drill) capable of holding up to two speakers for Ford F-150 2018 - 2020, Grille Mount</t>
  </si>
  <si>
    <t>ETSSVBK05</t>
  </si>
  <si>
    <t>100N/100J Series Speaker Bracket (no drill) capable of holding up to two speakers for Dodge Durango Pursuit 2018 - 2025, Bumper Mount Center</t>
  </si>
  <si>
    <t>ETSSVBK07</t>
  </si>
  <si>
    <t>100J/100U Series Speaker Bracket (no drill) capable of holding up to two speakers for Chevrolet Tahoe Pursuit &amp; Civilian Vehicles 2021 - 2025, Hood Latch Mount</t>
  </si>
  <si>
    <t>ETSSVBK09</t>
  </si>
  <si>
    <t>100J/100U Series Speaker Bracket (no drill) capable of holding up to two speakers for the Ford F-150 Civilian vehicle (excludes: F-150 Raptor; F-150 Police Responder; F-150s equipped with auxiliary auto transmission oil cooler systems) 2021-2024, Hood Latch Mount</t>
  </si>
  <si>
    <t>ETSSVBK12</t>
  </si>
  <si>
    <t>100J/100U Series Speaker Bracket (no drill) capable of holding up to two speakers for the Dodge Ram 1500 (5th generation only) 2019 - 2025 Hood Latch Mount</t>
  </si>
  <si>
    <t>ETSSVBK13</t>
  </si>
  <si>
    <t>100J/100U Series Speaker Bracket (no drill) for Ford Escape 2020 - 2022 capable of holding up to two kits, Frame Mount Driver/Passenger Side</t>
  </si>
  <si>
    <t>ETSSVBK14</t>
  </si>
  <si>
    <t>100J/100U Series Speaker Bracket (no drill) for the Ford F-150 Police Responder 2021 - 2025, Frame Mount Driver Side</t>
  </si>
  <si>
    <t>ETSSVBK15</t>
  </si>
  <si>
    <t>100J/100U Series Speaker Bracket (no drill) for the Ford F-150 Police Responder 2021 - 2025, Frame Mount Passenger Side</t>
  </si>
  <si>
    <t>ETSSVBK16</t>
  </si>
  <si>
    <t>100J/100U Series Speaker Bracket (no drill) for Toyota Grand Highlander 2024 - 2025. The vehicle can hold up to two kits (sold individually), Bumper Mount Center</t>
  </si>
  <si>
    <t>P1XSADGSB</t>
  </si>
  <si>
    <t>90° Bracket for Bolt 2 Lights (each)</t>
  </si>
  <si>
    <t>PEMG2K09</t>
  </si>
  <si>
    <t>5" Headache Rack Mount Bracket for use with Exterior Full Size Lightbar (each)</t>
  </si>
  <si>
    <t>PMP1BKDGAJ</t>
  </si>
  <si>
    <t>Deck/Grille Adjustable Bracket Kit for mpower® 3" Fascia Light w/ Stud Mount - Black</t>
  </si>
  <si>
    <t>PMP1BKDGAJ-W</t>
  </si>
  <si>
    <t>Deck/Grille Adjustable Bracket Kit for mpower® 3" Fascia Light w/ Stud Mount - White</t>
  </si>
  <si>
    <t>PMP1BKEDGE</t>
  </si>
  <si>
    <t>Edge Clip Bracket Kit for mpower® 3" Fascia Light w/ Stud Mount - Black</t>
  </si>
  <si>
    <t>PMP1BKEDGE-W</t>
  </si>
  <si>
    <t>90 Degree Edge Clip Bracket Kit for mpower® 3" Fascia Light w/ Stud Mount - White</t>
  </si>
  <si>
    <t>PMP1BKQCLP</t>
  </si>
  <si>
    <t>Quick Clip Bracket Kit for mpower® 3" Fascia Light w/ Quick Mount</t>
  </si>
  <si>
    <t>PMP1BKUMB1</t>
  </si>
  <si>
    <t>Under Mirror Mount Bracket Kit (each) for installation on Dodge Durango 2018-2025 &amp; Ford PI Utility 2020-2024 for use with mpower® 3" Stud or Quick Mount</t>
  </si>
  <si>
    <t>PMP1BKUMB2</t>
  </si>
  <si>
    <t>Under Mirror Mount Bracket Kit (each) for installation on Chevrolet Silverado &amp; GMC Sierra 2018 - 2019 for use with mpower® 3” Stud or Quick Mount</t>
  </si>
  <si>
    <t>PMP1BKUMB3</t>
  </si>
  <si>
    <t>Under Mirror Mount Bracket Kit (each) for installation on Chevrolet Tahoe 2018 - 2020, Ford Maverick 2023 - 2025 for use with mpower® 3” Stud or Quick Mount</t>
  </si>
  <si>
    <t>PMP1BKUMB4-D</t>
  </si>
  <si>
    <t>Under Mirror Mount Bracket Kit (each) for installation on Chevrolet Tahoe Police Pursuit &amp; Civilian Vehicles 2021-2025 for use with mpower® 3" Quick Mount, Driver Side</t>
  </si>
  <si>
    <t>PMP1BKUMB4-P</t>
  </si>
  <si>
    <t>Under Mirror Mount Bracket Kit (each) for installation on Chevrolet Tahoe Police Pursuit &amp; Civilian Vehicles 2021-2025 for use with mpower® 3" Quick Mount, Passenger Side</t>
  </si>
  <si>
    <t>PMP1BKUMB5-D</t>
  </si>
  <si>
    <t>Under Mirror Mount Bracket Kit (each) for installation on Dodge Charger Police and Civilian 2016-2024 for use with mpower® 3" Quick Mount, Driver Side</t>
  </si>
  <si>
    <t>PMP1BKUMB5-P</t>
  </si>
  <si>
    <t>Under Mirror Mount Bracket Kit (each) for installation on Dodge Charger Police and Civilian 2016-2024 for use with mpower® 3" Quick Mount, Passenger Side</t>
  </si>
  <si>
    <t>PMP1BRK2LPV</t>
  </si>
  <si>
    <t>License Plate Bracket, Vertical Mount for mpower® 3" Fascia Light w/ Stud Mount - mounts 2 lights, one on each side of the license place (each)</t>
  </si>
  <si>
    <t>PMP2BK003</t>
  </si>
  <si>
    <t>Grille Mount Bracket 6 Mod Kit for installation on 2021-2024 Chevrolet Tahoe Police &amp; Civilian (LS and Z71 models) for use with 3" and 4" Stud Mount, allows the lights to be attached to the front grille, no need to drill holes</t>
  </si>
  <si>
    <t>PMP2BK004</t>
  </si>
  <si>
    <t>Grille Mount Bracket 2 Mod Kit for installation on 2021-2024 Chevrolet Tahoe Police &amp; Civilian (LS and Z71 models) for use with 3" and 4" Stud Mount, allows the lights to be attached to the front grille, no need to drill holes</t>
  </si>
  <si>
    <t>PMP2BK005</t>
  </si>
  <si>
    <t>Grille Mount Back Plate Kit, contains 2 bracket sets each capable of holding 1, 3" or 4" Quick Mount Light for installation on 2021-2025 Dodge Durango Police &amp; Civilian SXT, SXT Plus, or Citadel Trim Levels, allows the lights to be attached to the front grille, no need to drill holes</t>
  </si>
  <si>
    <t>PMP2BK006</t>
  </si>
  <si>
    <t>Grille Mount Bracket 2 Mod Kit for installation on Dodge Charger Police &amp; Civilian (SXT Trim level) 2016-2024 for use with 3" and 4" Quick Mount, allows the lights to be attached to the front grille, no need to drill holes</t>
  </si>
  <si>
    <t>PMP2BK007</t>
  </si>
  <si>
    <t>Grille Mount Bracket Kit, contains 2 bracket sets for installation on 2021-2023 Ford F-150 Police Pursuit Vehicles, Special Service Vehicle and Civilian model (with the XL / XLT trim levels (without STX package)) for use with 3" &amp; 4" Quick Mount Lights, allows the lights</t>
  </si>
  <si>
    <t>PMP2BKDGAJ</t>
  </si>
  <si>
    <t>90 Degree Deck/Grille Adjustable Bracket Kit for mpower® 4" Fascia Light w/ Stud Mount - Black</t>
  </si>
  <si>
    <t>PMP2BKDGAJ-W</t>
  </si>
  <si>
    <t>90 Degree Deck/Grille Adjustable Bracket Kit for mpower® 4" Fascia Light w/ Stud Mount - White</t>
  </si>
  <si>
    <t>PMP2BKEDGE</t>
  </si>
  <si>
    <t>90 Degree Edge Clip Bracket Kit for mpower® 4" Fascia Light w/ Stud Mount - Black</t>
  </si>
  <si>
    <t>PMP2BKEDGE-W</t>
  </si>
  <si>
    <t>90 Degree Edge Clip Bracket Kit for mpower® 4" Fascia Light w/ Stud Mount - White</t>
  </si>
  <si>
    <t>PMP2BKGBPB</t>
  </si>
  <si>
    <t>Grille Mount Back Plate for use with mpower® 3 &amp; 4 inch Stud Mount Lights - allows the light to be pinched in the front grille - no need to drill holes</t>
  </si>
  <si>
    <t>PMP2BKQCLP</t>
  </si>
  <si>
    <t>Quick Clip Bracket Kit for mpower® 4" Fascia Light w/ Quick Mount</t>
  </si>
  <si>
    <t>PMP2BKUMB1</t>
  </si>
  <si>
    <t>Under Mirror Mount Bracket Kit (each) for installation on Ford PI Utility 2017 - 2018 for use with Intersector Surface Mount &amp; mpower® 4” Stud Mount (not compatible with 3" Stud Mount)</t>
  </si>
  <si>
    <t>PMP2BKUMB2-D</t>
  </si>
  <si>
    <t>Under Mirror Mount Bracket Kit (each) for installation on Ford F-150 2015 - 2020 for use with mpower® 3” Stud or Quick Mount - Driver Side</t>
  </si>
  <si>
    <t>PMP2BKUMB2-P</t>
  </si>
  <si>
    <t>Under Mirror Mount Bracket Kit (each) for installation on Ford F-150 2015 - 2020, for use with mpower® 3” Stud or Quick Mount - Passenger Side</t>
  </si>
  <si>
    <t>PMP2BKUMB4</t>
  </si>
  <si>
    <t>Under Mirror Mount Bracket Kit (each) for installation on Ford PI Utility 2020-2024 for use with mpower® 3" and 4" Stud or Quick Mount and Intersector Surface Mount</t>
  </si>
  <si>
    <t>PMP2BKUMB5-D</t>
  </si>
  <si>
    <t>Under Mirror Mount Bracket Kit (each) for installation on Chevrolet Tahoe Police Pursuit &amp; Civilian Vehicles 2021-2025 for use with mpower® 3" and 4" Stud or Quick Mount and Intersector Surface Mount, Driver Side</t>
  </si>
  <si>
    <t>PMP2BKUMB5-P</t>
  </si>
  <si>
    <t>Under Mirror Mount Bracket Kit (each) for installation on Chevrolet Tahoe Police Pursuit &amp; Civilian Vehicles 2021-2025 for use with mpower® 3" and 4" Stud or Quick Mount and Intersector Surface Mount, Passenger Side</t>
  </si>
  <si>
    <t>PMP2BKUMB7-D</t>
  </si>
  <si>
    <t>Under Mirror Mount Bracket Kit (each) for installation on Ford Escape 2020-2024 for use with mpower® 3" and 4" Stud or Quick Mount and Intersector Surface Mount, Driver Side</t>
  </si>
  <si>
    <t>PMP2BKUMB7-P</t>
  </si>
  <si>
    <t>Under Mirror Mount Bracket Kit (each) for installation on Ford Escape 2020-2024 for use with mpower® 3" and 4" Stud or Quick Mount and Intersector Surface Mount, Passenger Side</t>
  </si>
  <si>
    <t>PMP2BKUMB8-D</t>
  </si>
  <si>
    <t>Under Mirror Mount Bracket Kit (each) for installation on Ford PI Utility 2025 for use with mpower® 3" and 4" Stud and Intersector Surface Mount, Driver Side</t>
  </si>
  <si>
    <t>PMP2BKUMB8-P</t>
  </si>
  <si>
    <t>Under Mirror Mount Bracket Kit (each) for installation on Ford PI Utility 2025 for use with mpower® 3" and 4" Stud and Intersector Surface Mount, Passenger Side</t>
  </si>
  <si>
    <t>PMP2BRK2LPF</t>
  </si>
  <si>
    <t>License Plate Frame Kit, includes frame &amp; mounting hardware (for use with 4" lights)</t>
  </si>
  <si>
    <t>PMP2BRK2LPV</t>
  </si>
  <si>
    <t>License Plate Bracket, Vertical Mount for mpower 4" Fascia Light w/ Stud Mount - mounts 2 lights, one on each side of the license place (each)</t>
  </si>
  <si>
    <t>PMP2RS101</t>
  </si>
  <si>
    <t>Rear Spoiler Bracket, 1 Module Kit, Black, for use with mpower® Fascia 4x2 Lights Stud Mount Light - Ford Utility 2020-2025</t>
  </si>
  <si>
    <t>PMP2RS102</t>
  </si>
  <si>
    <t>Rear Spoiler Bracket, 1 Module Kit, Black, for use with mpower® 4" Fascia Stud Mount Light - Ford Utility 2020-2025</t>
  </si>
  <si>
    <t>PMP2RS104</t>
  </si>
  <si>
    <t>Rear Spoiler Bracket, 1 Module Kit, Black, for use with mpower® 4" Fascia Stud Mount Light, Chevrolet Tahoe Police Pursuit &amp; Civilian Vehicles 2021-2025</t>
  </si>
  <si>
    <t>PMP2RS105</t>
  </si>
  <si>
    <t>Rear Spoiler Bracket, 1 Module Kit, Black, for use with mpower® 4" Fascia Stud Mount Light - Dodge Durango Police Pursuit &amp; Civilian Vehicles 2021-2025</t>
  </si>
  <si>
    <t>PMP2RS202</t>
  </si>
  <si>
    <t>Rear Spoiler Bracket, 2 Module, Black, for use with mpower® 4" Fascia Stud Mount Light - Ford Utility 2020-2025</t>
  </si>
  <si>
    <t>PMP2RS204</t>
  </si>
  <si>
    <t>Rear Spoiler Bracket, 2 Module, Black, for use with mpower® 4" Fascia Stud Mount Light, Chevrolet Tahoe Police Pursuit &amp; Civilian Vehicles 2021-2025</t>
  </si>
  <si>
    <t>PMP2RS205</t>
  </si>
  <si>
    <t>Rear Spoiler Bracket, 2 Module, Black, for use with mpower® 4" Fascia Stud Mount Light, Dodge Durango Police Pursuit &amp; Civilian Vehicles 2021-2025</t>
  </si>
  <si>
    <t>PMP2RS302</t>
  </si>
  <si>
    <t>Rear Spoiler Bracket, 3 Module Kit, Black, for use with mpower® 4" Fascia Stud Mount, 3-Wire 4" Stud Mount Light &amp; mpower Arrow Kit Light - Ford Utility 2020-2025</t>
  </si>
  <si>
    <t>PMP2RS303</t>
  </si>
  <si>
    <t>Rear Spoiler Bracket, 3 Module Kit, Black, for use with mpower® Fascia 4" Lights Stud Mount - Ford Expedition 2018-2024</t>
  </si>
  <si>
    <t>PMP2RS304</t>
  </si>
  <si>
    <t>Rear Spoiler Bracket, 3 Module Kit, Black, for use with mpower® 4" Fascia Stud Mount, 3-Wire 4" Stud Mount Light &amp; mpower Arrow Kit Light, Chevrolet Tahoe Police Pursuit &amp; Civilian Vehicles 2021-2025</t>
  </si>
  <si>
    <t>PMP2RS305</t>
  </si>
  <si>
    <t>Rear Spoiler Bracket, 3 Module Kit, Black, for use with mpower® 4" Fascia Stud Mount, Dodge Durango Police Pursuit &amp; Civilian Vehicles 2021-2025</t>
  </si>
  <si>
    <t>PMP2RS402</t>
  </si>
  <si>
    <t>Rear Spoiler Bracket, 4 Module Kit, Black, for use with mpower® 4" Fascia Stud Mount, 3-Wire 4" Stud Mount Light &amp; mpower Arrow Kit Light - Ford Utility 2020-2025</t>
  </si>
  <si>
    <t>PMP2RS403</t>
  </si>
  <si>
    <t>Rear Spoiler Bracket, 4 Module Kit, Black, for use with mpower® Fascia 4" Lights Stud Mount - Ford Expedition 2018-2024</t>
  </si>
  <si>
    <t>PMP2RS404</t>
  </si>
  <si>
    <t>Rear Spoiler Bracket, 4 Module Kit, Black, for use with mpower® 4" Fascia Stud Mount, 3-Wire 4" Stud Mount Light &amp; mpower Arrow Kit Light, Chevrolet Tahoe Police Pursuit &amp; Civilian Vehicles 2021-2025</t>
  </si>
  <si>
    <t>PMP2RS405</t>
  </si>
  <si>
    <t>Rear Spoiler Bracket, 4 Module Kit, Black, for use with mpower® 4" Fascia Stud Mount, Dodge Durango Police Pursuit &amp; Civilian Vehicles 2021-2025</t>
  </si>
  <si>
    <t>PMP2RS503</t>
  </si>
  <si>
    <t>Rear Spoiler Bracket, 3 Module Kit, Black, for use with mpower® 4" Fascia Stud Mount, 3-Wire 4" Stud Mount Light &amp; mpower® Arrow Kit Light - Toyota Grand Highlander 2024-2025</t>
  </si>
  <si>
    <t>PMP2RSBDG3</t>
  </si>
  <si>
    <t>Rear Spoiler Bracket, 3 Module Kit, Black, for use with mpower® 4" Fascia Stud Mount, 3-Wire 4" Stud Mount Light &amp; mpower Arrow Kit Light - Dodge Durango 2011 - 2020</t>
  </si>
  <si>
    <t>PMP4BKRKLB</t>
  </si>
  <si>
    <t>Rock Bracket Kit: includes Mounting Hardware - Single, Black</t>
  </si>
  <si>
    <t>PMPBK0001</t>
  </si>
  <si>
    <t>90° Bracket for use with GoPro Mounting System</t>
  </si>
  <si>
    <t>PMPLBK07</t>
  </si>
  <si>
    <t>PMPR1BK001</t>
  </si>
  <si>
    <t>U- Shaped Bracket w/ mounting hardware for use with mpower® HP 2x1</t>
  </si>
  <si>
    <t>PMPR1BK002</t>
  </si>
  <si>
    <t>U-Shaped Bracket (tall) w/mounting hardware for use with mpower® HP 2x1</t>
  </si>
  <si>
    <t>PMPR2BK001</t>
  </si>
  <si>
    <t>U- Shaped Bracket w/ mounting hardware for use with mpower® HP 6x1</t>
  </si>
  <si>
    <t>PMPSABK001</t>
  </si>
  <si>
    <t>Grille Mount Bracket Kit, contains 2 bracket sets for installation on 2021-2023 Ford F-150 Police Pursuit Vehicles, Special Service Vehicle and Civilian model with the (XL / XLT without STX package) trim levels) for use with 4x2 Quick Mount Lights, allows the lights to be attached to the front grille</t>
  </si>
  <si>
    <t>PMPSABK002</t>
  </si>
  <si>
    <t>Grille Mount Bracket 2 Mod Kit for installation on Ford Explorer 2020-2022, Ford Police Interceptor Utility 2020-2025 for use with 3" and 4" Stud Mount, allows the lights to be attached to the front grille, no need to drill holes</t>
  </si>
  <si>
    <t>PMPSABK003</t>
  </si>
  <si>
    <t>Grille Mount Bracket 4 Mod Kit for installation on Ford Explorer 2020-2022, Ford Police Interceptor Utility 2020-2025 for use with 3" and 4" Stud Mount, allows the lights to be attached to the front grille, no need to drill holes</t>
  </si>
  <si>
    <t>PMPSABK004</t>
  </si>
  <si>
    <t>Grille Mount Back Plate Kit, contains 2 bracket sets each capable of holding 1, 4x2 Quick Mount Light for installation on 2022-2025 Dodge Durango Police &amp; Civilian SXT, SXT Plus, or Citadel Trim Levels, allows the lights to be attached to the front grille, no need to drill holes</t>
  </si>
  <si>
    <t>PMPSABK005</t>
  </si>
  <si>
    <t>mpower® Third Brake Light Bracket for use with (2) mpower 4x2 stud mount lights</t>
  </si>
  <si>
    <t>PMPSABKDGAJ</t>
  </si>
  <si>
    <t>90° Adjustable Mount Bracket for mpower® Fascia 4x2 Lights (each)</t>
  </si>
  <si>
    <t>PMPSADGSB</t>
  </si>
  <si>
    <t>90° Metal Bracket for mpower® Fascia 4x2 Lights (each)</t>
  </si>
  <si>
    <t>PMPTCM01</t>
  </si>
  <si>
    <t>mpower® Traffic Controller Deck/Grille Mounting Kit - 1 Hole, Short (1 Bracket)</t>
  </si>
  <si>
    <t>PMPTCM02</t>
  </si>
  <si>
    <t>mpower® Traffic Controller Deck/Grille Mounting Kit - 2 Hole, Medium (1 Bracket)</t>
  </si>
  <si>
    <t>PMPTCM03</t>
  </si>
  <si>
    <t>mpower® Traffic Controller Deck/Grille Mounting Kit - 3 Hole, Long (1 Bracket)</t>
  </si>
  <si>
    <t>PMPTCM07</t>
  </si>
  <si>
    <t>mpower® Traffic Controller Deck/Grille Mounting Kit - 7 Hole (1 Bracket)</t>
  </si>
  <si>
    <t>PNFLBK02</t>
  </si>
  <si>
    <t>Headache Rack Mount for Exterior Full Size Lightbar (each)</t>
  </si>
  <si>
    <t>PNFLBK13</t>
  </si>
  <si>
    <t>PNFSLBRK145</t>
  </si>
  <si>
    <t>45° Single Bracket, Horizontal Mount for nFORCE® Surface Mount Lights (each)</t>
  </si>
  <si>
    <t>PNFSLBRK190</t>
  </si>
  <si>
    <t>90° Single Bracket, Horizontal Mount for nFORCE® Single Surface Mount Lights (each)</t>
  </si>
  <si>
    <t>PNFSLDGDB</t>
  </si>
  <si>
    <t>nFORCE® Dual Deck/Grille Bracket &amp; mounting hardware</t>
  </si>
  <si>
    <t>PNFSLDGSB</t>
  </si>
  <si>
    <t>nFORCE® Single Deck/Grille Bracket &amp; mounting hardware</t>
  </si>
  <si>
    <t>PNFWBMFPC08</t>
  </si>
  <si>
    <t>Windshield Mounting Brackets w/ Hardware for nFORCE® Interior Split 2 Piece Lightbar (ENFWBFSxxx) Chevrolet Silverado 1500 2019.5 mid-year change - 2025 &amp; Silverado 2500HD and 3500HD 2020-2025, Sierra 1500 2019.5 mid-year change -2025, Sierra 2500HD, 3500HD 2020-2025, Driver Side</t>
  </si>
  <si>
    <t>PNFWBMFPC11</t>
  </si>
  <si>
    <t>Windshield Mounting Brackets w/ Hardware for nFORCE® Interior Split 2 Piece Lightbar (ENFWBFSxxx) Chevrolet Tahoe Police Pursuit &amp; Civilian Vehicles/Suburban/Yukon &amp; XL 2021-2025, Driver Side</t>
  </si>
  <si>
    <t>PNFWBMFPC12</t>
  </si>
  <si>
    <t>Windshield Mounting Brackets w/ Hardware for nFORCE® Interior Split 2 Piece Lightbar (ENFWBFSxxx) Chevrolet Blazer 2021-2022, Driver Side</t>
  </si>
  <si>
    <t>PNFWBMFPD03</t>
  </si>
  <si>
    <t>Windshield Mounting Brackets w/Hardware for Interior Split 2 Piece Lightbar (ENFWBFSxxx), Driver Side - Dodge Ram Classic 1500 2009-2023, Ram 2500, 3500 2009-2018</t>
  </si>
  <si>
    <t>PNFWBMFPD08</t>
  </si>
  <si>
    <t>Windshield Mounting Brackets w/ Hardware for nFORCE® Interior Split 2 Piece Lightbar (ENFWBFSxxx) Dodge Charger Pursuit &amp; Civilian Vehicles 2022-2023, Driver Side</t>
  </si>
  <si>
    <t>PNFWBMFPD09</t>
  </si>
  <si>
    <t>Windshield Mounting Brackets w/ Hardware for nFORCE® Interior Split 2 Piece Lightbar (ENFWBFSxxx) - Dodge Durango Police Pursuit &amp; Civilian, Driver Side Hanging Bracket Kit 2022-2025</t>
  </si>
  <si>
    <t>PNFWBMFPF12</t>
  </si>
  <si>
    <t>Windshield Mounting Brackets w/ Hardware for Interior Split 2 Piece Lightbar (ENFWBFSxxx) - Ford Expedition, Driver 2018-2023</t>
  </si>
  <si>
    <t>PNFWBMFPF15</t>
  </si>
  <si>
    <t>Windshield Mounting Brackets w/ Hardware for nFORCE® Interior Split 2 Piece Lightbar, Driver Side (ENFWBFSxxx) - Ford PI Utility 2020-2023, without Option 76P</t>
  </si>
  <si>
    <t>PNFWBMFPF21</t>
  </si>
  <si>
    <t>Windshield Mounting Brackets w/ Hardware for nFORCE® Interior Split 2 Piece Lightbar (ENFWBFSxxx) Ford Escape 2020-2023, Driver Side</t>
  </si>
  <si>
    <t>PNFWBMFPF22</t>
  </si>
  <si>
    <t>Windshield Mounting Brackets w/ Hardware for nFORCE® Interior Split 2 Piece Lightbar (ENFWBFSxxx) Ford Bronco Sport 2021-2022, Driver Side</t>
  </si>
  <si>
    <t>PNFWBMFPF26</t>
  </si>
  <si>
    <t>Windshield Mounting Brackets w/ Hardware for nFORCE® Interior Split 2 Piece Lightbar (ENFWBFSxxx) Ford Transit Low Roof, Driver side 2022</t>
  </si>
  <si>
    <t>PNFWBMFPF27</t>
  </si>
  <si>
    <t>Windshield Mounting Brackets w/ Hardware for nFORCE® Interior Split 2 Piece Lightbar (ENFWBFSxxx) Ford Mustang Mach-E 2021-2025, Driver Side</t>
  </si>
  <si>
    <t>PNFWBMFPF31</t>
  </si>
  <si>
    <t>Windshield Mounting Brackets w/ Hardware for nFORCE® Interior Split 2 Piece Lightbar (ENFWBFSxxx) Ford PI Utility 2025, Driver Side</t>
  </si>
  <si>
    <t>PNFWBMFPG10</t>
  </si>
  <si>
    <t>Windshield Mounting Brackets w/ Hardware for nFORCE® Interior Split 2 Piece Lightbar (ENFWBFSxxx) – GMC Terrain (2018-2020), Driver Side</t>
  </si>
  <si>
    <t>PNFWBMFPH03</t>
  </si>
  <si>
    <t>Windshield Mounting Brackets w/ Hardware for nFORCE® Interior Split 2 Piece Lightbar (ENFWBFSxxx) – Hyundai Sante Fe (2017-2020), Driver Side</t>
  </si>
  <si>
    <t>PNFWBMFPM01</t>
  </si>
  <si>
    <t>Windshield Mounting Brackets w/ Hardware for nFORCE® Interior Split 2 Piece Lightbar (ENFWBFSxxx) Mercedes Sprinter High Roof Van 2020-2022, Driver Side</t>
  </si>
  <si>
    <t>PNFWBMFPN02</t>
  </si>
  <si>
    <t>Windshield Mounting Brackets w/ Hardware for nFORCE® Interior Split 2 Piece Lightbar (ENFWBFSxxx) Nissan Altima 2019-2021, Driver Side</t>
  </si>
  <si>
    <t>PNFWBMFPN03</t>
  </si>
  <si>
    <t>Windshield Mounting Brackets w/ Hardware for nFORCE® Interior Split 2 Piece Lightbar (ENFWBFSxxx) Nissan Maxima 2020-2023, Driver Side</t>
  </si>
  <si>
    <t>PNFWBMFSC08</t>
  </si>
  <si>
    <t>Windshield Mounting Brackets w/ Hardware for nFORCE® Interior Split 2 Piece Lightbar (ENFWBFSxxx) Chevrolet Silverado 1500 2019.5 mid-year change - 2025 &amp; Silverado 2500HD and 3500HD 2020-2025, Sierra 1500 2019.5 mid-year change -2025, Sierra 2500HD, 3500HD 2020-2025, Passenger Side</t>
  </si>
  <si>
    <t>PNFWBMFSC11</t>
  </si>
  <si>
    <t>Windshield Mounting Brackets w/ Hardware for nFORCE® Interior Split 2 Piece Lightbar (ENFWBFSxxx) Chevrolet Tahoe Police Pursuit &amp; Civilian Vehicles/Suburban/Yukon &amp; XL 2021-2025, Passenger Side</t>
  </si>
  <si>
    <t>PNFWBMFSC12</t>
  </si>
  <si>
    <t>Windshield Mounting Brackets w/ Hardware for nFORCE® Interior Split 2 Piece Lightbar (ENFWBFSxxx) Chevrolet Blazer 2021-2022, Passenger Side</t>
  </si>
  <si>
    <t>PNFWBMFSD03</t>
  </si>
  <si>
    <t>Windshield Mounting Brackets w/Hardware for Interior Split 2 Piece Lightbar (ENFWBFSxxx), Passenger Side - Dodge Ram Classic 1500 2009-2023, Ram 2500, 3500 2009-2018</t>
  </si>
  <si>
    <t>PNFWBMFSD08</t>
  </si>
  <si>
    <t>Windshield Mounting Brackets w/ Hardware for nFORCE® Interior Split 2 Piece Lightbar (ENFWBFSxxx) Dodge Charger Pursuit &amp; Civilian Vehicles 2022-2023, Passenger Side</t>
  </si>
  <si>
    <t>PNFWBMFSD09</t>
  </si>
  <si>
    <t>Windshield Mounting Brackets w/ Hardware for nFORCE® Interior Split 2 Piece Lightbar (ENFWBFSxxx) - Dodge Durango Police Pursuit &amp; Civilian, Passenger Side Hanging Bracket Kit 2022-2025</t>
  </si>
  <si>
    <t>PNFWBMFSF12</t>
  </si>
  <si>
    <t>Windshield Mounting Brackets w/ Hardware for Interior Split 2 Piece Lightbar (ENFWBFSxxx) - Ford Expedition, Passenger Side 2018-2023</t>
  </si>
  <si>
    <t>PNFWBMFSF15</t>
  </si>
  <si>
    <t>Windshield Mounting Brackets w/ Hardware for nFORCE® Interior Split 2 Piece Lightbar, Passenger Side (ENFWBFSxxx) - Ford PI Utility 2020-2023, without Option 76P</t>
  </si>
  <si>
    <t>PNFWBMFSF17</t>
  </si>
  <si>
    <t>Windshield Mounting Brackets w/ Hardware for nFORCE® Interior Split 2 Piece Lightbar (ENFWBFSxxx) - Ford PI Utility 2020-2023, with Option 76P</t>
  </si>
  <si>
    <t>PNFWBMFSF20</t>
  </si>
  <si>
    <t>Windshield Mounting Brackets w/ Hardware for nFORCE® Interior Split 2 Piece Lightbar (ENFWBFSxxx) Ford F-150 (2022-2025), Ford F-150 Police Pursuit &amp; Civilian Vehicles 2021-2025, Passenger Side</t>
  </si>
  <si>
    <t>PNFWBMFSF21</t>
  </si>
  <si>
    <t>Windshield Mounting Brackets w/ Hardware for nFORCE® Interior Split 2 Piece Lightbar (ENFWBFSxxx)  Ford Escape 2020-2023, Passenger Side</t>
  </si>
  <si>
    <t>PNFWBMFSF22</t>
  </si>
  <si>
    <t>Windshield Mounting Brackets w/ Hardware for nFORCE® Interior Split 2 Piece Lightbar (ENFWBFSxxx) Ford Bronco Sport 2021-2022, Passenger Side</t>
  </si>
  <si>
    <t>PNFWBMFSF26</t>
  </si>
  <si>
    <t>Windshield Mounting Brackets w/ Hardware for nFORCE® Interior Split 2 Piece Lightbar (ENFWBFSxxx) Ford Transit Low Roof, Passenger side 2022</t>
  </si>
  <si>
    <t>PNFWBMFSF27</t>
  </si>
  <si>
    <t>Windshield Mounting Brackets w/ Hardware for nFORCE® Interior Split 2 Piece Lightbar (ENFWBFSxxx) Ford Mustang Mach-E 2021-2025, Passenger Side</t>
  </si>
  <si>
    <t>PNFWBMFSF31</t>
  </si>
  <si>
    <t>Windshield Mounting Brackets w/ Hardware for nFORCE® Interior Split 2 Piece Lightbar (ENFWBFSxxx)  Ford PI Utility 2025, Passenger Side</t>
  </si>
  <si>
    <t>PNFWBMFSG10</t>
  </si>
  <si>
    <t>Windshield Mounting Brackets w/ Hardware for nFORCE® Interior Split 2 Piece Lightbar (ENFWBFSxxx) – GMC Terrain (2018-2020), Passenger Side</t>
  </si>
  <si>
    <t>PNFWBMFSH03</t>
  </si>
  <si>
    <t>Windshield Mounting Brackets w/ Hardware for nFORCE® Interior Split 2 Piece Lightbar (ENFWBFSxxx) – Hyundai Sante Fe (2017-2020), Passenger Side</t>
  </si>
  <si>
    <t>PNFWBMFSM01</t>
  </si>
  <si>
    <t>Windshield Mounting Brackets w/ Hardware for nFORCE® Interior Split 2 Piece Lightbar (ENFWBFSxxx) Mercedes Sprinter High Roof Van 2020-2022, Passenger Side</t>
  </si>
  <si>
    <t>PNFWBMFSN02</t>
  </si>
  <si>
    <t>Windshield Mounting Brackets w/ Hardware for nFORCE® Interior Split 2 Piece Lightbar (ENFWBFSxxx) Nissan Altima 2019-2021, Passenger Side</t>
  </si>
  <si>
    <t>PNFWBMFSN03</t>
  </si>
  <si>
    <t>Windshield Mounting Brackets w/ Hardware for nFORCE® Interior Split 2 Piece Lightbar (ENFWBFSxxx) Nissan Maxima 2020-2023, Passenger Side</t>
  </si>
  <si>
    <t>PNFWBMFSU01</t>
  </si>
  <si>
    <t>Windshield Mounting Brackets w/ Hardware for nFORCE® Interior Split 2 Piece Lightbar (ENFWBFSxxx) – Universal</t>
  </si>
  <si>
    <t>PNFWBMRFC11</t>
  </si>
  <si>
    <t>Rear Facing Mounting Brackets w/ Hardware for nFORCE® Interior Full 1 Piece Lightbar (ENFWBRxxx), Chevrolet Tahoe Police Pursuit &amp; Civilian Vehicles/Suburban/Yukon &amp; XL 2021-2025</t>
  </si>
  <si>
    <t>PNFWBMRFD05</t>
  </si>
  <si>
    <t>Rear Facing Mounting Brackets w/ Hardware for nFORCE® Interior Full 1 Piece Lightbar (ENFWBRFxxx) - Dodge Durango 2018-2020</t>
  </si>
  <si>
    <t>PNFWBMRFD08</t>
  </si>
  <si>
    <t>Rear Facing Mounting Brackets w/ Hardware for nFORCE® Interior Full 1 Piece Lightbar (ENFWBRFxxx) - Dodge Charger Police Pursuit &amp; Civilian Vehicles 2022-2023</t>
  </si>
  <si>
    <t>PNFWBMRFD09</t>
  </si>
  <si>
    <t>Rear Facing Mounting Brackets w/ Hardware for nFORCE® Interior Full 1 Piece Lightbar (ENFWBRFxxx) - Dodge Durango Police Pursuit &amp; Civilian Vehicles 2022-2025</t>
  </si>
  <si>
    <t>PNFWBMRFF12</t>
  </si>
  <si>
    <t>Rear Facing Mounting Brackets w/ Hardware for nFORCE® Interior Full 1 Piece Lightbar (ENFWBRxxx), Ford Expedition 2018-2023</t>
  </si>
  <si>
    <t>PNFWBMRFF15</t>
  </si>
  <si>
    <t>Rear Facing Mounting Brackets w/ Hardware for nFORCE® Interior Full 1 Piece Lightbar (ENFWBRxxx) - Ford PI Utility 2020-2023</t>
  </si>
  <si>
    <t>PNFWBMRFF27</t>
  </si>
  <si>
    <t>Rear Facing Mounting Brackets w/ Hardware for nFORCE® Interior Full 1 Piece Lightbar (ENFWBRxxx), Ford Mustang Mach-E 2021-2025</t>
  </si>
  <si>
    <t>PNT1WRRT</t>
  </si>
  <si>
    <t>Optional Installation Bracket for the Intersector Under Mirror Light, Kit includes: Bracket &amp; Screws - Secures the harness to Side Mirror Housing</t>
  </si>
  <si>
    <t>PNT3BKUMB2-D</t>
  </si>
  <si>
    <t>Under Mirror Mount Bracket Kit (each) for installation on 2014 - 2022 Dodge Ram 1500 Classic, for use with Intersector Surface Mount &amp; mpower® 3 and 4 inch Stud &amp; Quick Mounts, Driver Side</t>
  </si>
  <si>
    <t>PNT3BKUMB2-P</t>
  </si>
  <si>
    <t>Under Mirror Mount Bracket Kit (each) for installation on 2014 - 2022 Dodge Ram 1500 Classic, for use with Intersector Surface Mount &amp; mpower® 3 and 4 inch Stud &amp; Quick Mounts, Passenger Side</t>
  </si>
  <si>
    <t>PNT3BKUMB3-D</t>
  </si>
  <si>
    <t>Under Mirror Mount Bracket Kit (each) for installation on 2016 - 2020 Chevrolet Tahoe - for use with Intersector Surface Mount &amp; mpower® 3 and 4 inch Stud &amp; Quick Mounts - Driver Side</t>
  </si>
  <si>
    <t>PNT3BKUMB3-P</t>
  </si>
  <si>
    <t>Under Mirror Mount Bracket Kit (each) for installation on 2016 - 2020 Chevrolet Tahoe - for use with Intersector Surface Mount &amp; mpower® 3 and 4 inch Stud &amp; Quick Mounts - Passenger Side</t>
  </si>
  <si>
    <t>PNT3BKUMB4</t>
  </si>
  <si>
    <t>Under Mirror Mount Bracket Kit (each) for installation on Dodge Durango 2016 - 2025 for use with Intersector Surface Mount &amp; mpower® 4” and 3" Stud/Quick Mount Lights</t>
  </si>
  <si>
    <t>PNT3DGBB</t>
  </si>
  <si>
    <t>Intersector Deck/Grille Bracket w/ Mounting Hardware – Black</t>
  </si>
  <si>
    <t>PNT3DGBB-TH</t>
  </si>
  <si>
    <t>Intersector Deck/Grille Spoiler Bracket for Chevrolet Tahoe 2015 - 2020 w/ Mounting Hardware - Black</t>
  </si>
  <si>
    <t>PUL3DGM</t>
  </si>
  <si>
    <t>Universal L-brackets, 4.42" tall, 7 hole (pair) for UltraLITE Dash/Deck or Headliner Mount</t>
  </si>
  <si>
    <t>PUL3DGM01</t>
  </si>
  <si>
    <t>Universal L-brackets, 1.42" tall, 1 hole (pair) for UltraLITE Dash/Deck or Headliner Mount</t>
  </si>
  <si>
    <t>PUL3DGM02</t>
  </si>
  <si>
    <t>Universal L-brackets, 1.92" tall, 2 hole (pair) for UltraLITE Dash/Deck or Headliner Mount</t>
  </si>
  <si>
    <t>PUL3DGM03</t>
  </si>
  <si>
    <t>Universal L-brackets, 2.42" tall, 3 hole (pair) for UltraLITE Dash/Deck or Headliner Mount</t>
  </si>
  <si>
    <t>PUL3M02</t>
  </si>
  <si>
    <t>Visor Mount Windshield Bracket for UltraLITE - Chevrolet Tahoe (pair)</t>
  </si>
  <si>
    <t>PUL3M03</t>
  </si>
  <si>
    <t>Visor Mount Windshield Bracket for UltraLITE - Impala (pair)</t>
  </si>
  <si>
    <t>PUL3M04</t>
  </si>
  <si>
    <t>Visor Mount Windshield Bracket for UltraLITE - Dodge Charger (each)</t>
  </si>
  <si>
    <t>PMP1BK005</t>
  </si>
  <si>
    <t>Stud Mount Conversion Bracket Kit, for use with 3" Quick Mount Light</t>
  </si>
  <si>
    <t>PMP2BK008</t>
  </si>
  <si>
    <t>Rear Side Crash Bar Bracket Kit (2 kits required for full build) for installation on 2021-2023 Harley Davidson Electra Glide for use with mpower® HD Light 4" Stud Mount, can fit up to 3 lights</t>
  </si>
  <si>
    <t>PMP2BK009</t>
  </si>
  <si>
    <t>45/90 Fork Bracket Kit (2 kits required for full build) for installation on 2021-2023 Harley Davidson Electra Glide for use with mpower® HD Light 4" Stud Mount, can fit up to 2 lights</t>
  </si>
  <si>
    <t>PMPSABK006</t>
  </si>
  <si>
    <t>License Plate Bracket Kit for installation on 2021-2023 Harley Davidson Electra Glide for use with mpower® 4x2 Screw Mount</t>
  </si>
  <si>
    <t>PMP2BK011</t>
  </si>
  <si>
    <t>Headliner Bracket Kit, contains 2 metal brackets, compatible with mpower® Fascia Light 3" &amp; 4" Stud Mounts only</t>
  </si>
  <si>
    <t>PMP2BK012</t>
  </si>
  <si>
    <t>Side-Mount Window Bracket Kit, contains 1 metal bracket for side-mounted window shroud, compatible with mpower® Fascia Light 3" &amp; 4" Stud Mounts only</t>
  </si>
  <si>
    <t>PNFWBMFPD12</t>
  </si>
  <si>
    <t>Windshield Mounting Brackets w/ Hardware for nFORCE® Interior Split 2 Piece Lightbar (ENFWBFSxxx), Dodge Ram 2500 &amp; 3500 2019-2024, Driver Side</t>
  </si>
  <si>
    <t>PNFWBMFPF20</t>
  </si>
  <si>
    <t>Windshield Mounting Brackets w/ Hardware for nFORCE® Interior Split 2 Piece Lightbar (ENFWBFSxxx) Ford F-150 (2022-2025), Ford F-150 Police Pursuit &amp; Civilian Vehicles 2021-2025, Driver Side</t>
  </si>
  <si>
    <t>PNFWBMFPF29</t>
  </si>
  <si>
    <t>Windshield Mounting Brackets w/ Hardware for nFORCE® Interior Split 2 Piece Lightbar (ENFWBFSxxx) Ford Edge 2021-2023, Driver Side</t>
  </si>
  <si>
    <t>PNFWBMFPF30</t>
  </si>
  <si>
    <t>Windshield Mounting Brackets w/ Hardware for nFORCE® Interior Split 2 Piece Lightbar (ENFWBFSxxx) Ford Super Duty F-250 - F-550 (2023-2025), Driver Side</t>
  </si>
  <si>
    <t>PNFWBMFPN01</t>
  </si>
  <si>
    <t>Windshield Mounting Brackets w/ Hardware for nFORCE® Interior Split 2 Piece Lightbar (ENFWBFSxxx) Murano 2020-2023, Driver Side</t>
  </si>
  <si>
    <t>PNFWBMFPN05</t>
  </si>
  <si>
    <t>Windshield Mounting Brackets w/ Hardware for nFORCE® Interior Split 2 Piece Lightbar (ENFWBFSxxx) Nissan Frontier 2022-2024, Driver Side</t>
  </si>
  <si>
    <t>PNFWBMFPS01</t>
  </si>
  <si>
    <t>Windshield Mounting Brackets w/ Hardware for nFORCE® Interior Split 2 Piece Lightbar (ENFWBFSxxx) Subaru Ascent 2019-2023, Driver Side</t>
  </si>
  <si>
    <t>PNFWBMFSD12</t>
  </si>
  <si>
    <t>Windshield Mounting Brackets w/ Hardware for nFORCE® Interior Split 2 Piece Lightbar (ENFWBFSxxx), Dodge Ram 2500 &amp; 3500 2019-2024, Passenger Side</t>
  </si>
  <si>
    <t>PNFWBMFSF29</t>
  </si>
  <si>
    <t>Windshield Mounting Brackets w/ Hardware for nFORCE® Interior Split 2 Piece Lightbar (ENFWBFSxxx) Ford Edge 2021-2023, Passenger Side</t>
  </si>
  <si>
    <t>PNFWBMFSF30</t>
  </si>
  <si>
    <t>Windshield Mounting Brackets w/ Hardware for nFORCE® Interior Split 2 Piece Lightbar (ENFWBFSxxx) Ford Super Duty F-250 - F-550 (2023-2025), Passenger Side</t>
  </si>
  <si>
    <t>PNFWBMFSN01</t>
  </si>
  <si>
    <t>Windshield Mounting Brackets w/ Hardware for nFORCE® Interior Split 2 Piece Lightbar (ENFWBFSxxx) Murano 2020-2023, Passenger Side</t>
  </si>
  <si>
    <t>PNFWBMFSN05</t>
  </si>
  <si>
    <t>Windshield Mounting Brackets w/ Hardware for nFORCE® Interior Split 2 Piece Lightbar (ENFWBFSxxx) Nissan Frontier 2022-2024, Passenger Side</t>
  </si>
  <si>
    <t>PNFWBMFSS01</t>
  </si>
  <si>
    <t>Windshield Mounting Brackets w/ Hardware for nFORCE® Interior Split 2 Piece Lightbar (ENFWBFSxxx) Subaru Ascent 2019-2023, Passenger Side</t>
  </si>
  <si>
    <t>ConfigureIT Bluetooth Module</t>
  </si>
  <si>
    <t>ECTBM001</t>
  </si>
  <si>
    <t>ECTBM003</t>
  </si>
  <si>
    <t>ConfigureIT Bluetooth Module with harness, for use with Ford PI Utility 2020 - plugs into vehicle programing connector controls color patterns for headlight, Quarter Window modules (mpower® 3" &amp; 4" Fascia , HD &amp; 4x2 Lights)</t>
  </si>
  <si>
    <t>PNT1CRV01</t>
  </si>
  <si>
    <t>Replacement Curved Surface Adaptors for Intersector - 1-Driver &amp; 1-Passenger w/ Mounting Hardware - Universal</t>
  </si>
  <si>
    <t>PNT1CRV03</t>
  </si>
  <si>
    <t>Curved Surface Adaptors for Intersector - 1-Driver &amp; 1-Passenger w/ Mounting Hardware - Dodge Charger 2011 - 2023</t>
  </si>
  <si>
    <t>PNT1CRV05</t>
  </si>
  <si>
    <t>Curved Surface Adaptors for Intersector - 1-Driver &amp; 1-Passenger w/ Mounting Hardware - Ford Explorer/PI Utility 2013-2017</t>
  </si>
  <si>
    <t>PNT1CRV06</t>
  </si>
  <si>
    <t>Curved Surface Adaptors for Intersector - 1-Driver &amp; 1-Passenger w/ 0° Mounting Wedge &amp; Hardware - Dodge Durango 2013 - 2023</t>
  </si>
  <si>
    <t>PMP1BK007</t>
  </si>
  <si>
    <t>D-Pillar Kit for 2020-2025 Ford Police Interceptor Utility, compatible with 3" mpower stud mount fascia lights (for rear-facing application), compatible with 3" mpower quick mount fascia lights (for optional side-facing application)</t>
  </si>
  <si>
    <t>PMP1BK001</t>
  </si>
  <si>
    <t>D-Pillar Wedge Kit (two wedges) for Chevrolet Tahoe 2021-2023, compatible with 3" mpower® Quick Mount Fascia Lights</t>
  </si>
  <si>
    <t>PMP1BK002</t>
  </si>
  <si>
    <t>D-Pillar Wedge Kit (two wedges) for Ford Utility 2020-2024, compatible with 3" mpower® quick mount fascia lights</t>
  </si>
  <si>
    <t>PMP1BK003</t>
  </si>
  <si>
    <t>D-Pillar Wedge Kit (six wedges) for Chevrolet Tahoe 2021-2024, compatible with 3" mpower® quick mount fascia lights</t>
  </si>
  <si>
    <t>PMP1BK004</t>
  </si>
  <si>
    <t>D-Pillar Wedge Kit (six wedges) for Ford PIU 2020-2024, compatible with 3" mpower® quick mount fascia lights</t>
  </si>
  <si>
    <t>PBSDLGM01</t>
  </si>
  <si>
    <t>Flush Mount Grommet for obSERVE+ Dome Light - 3"</t>
  </si>
  <si>
    <t>PEMG2K00</t>
  </si>
  <si>
    <t>Extra Low Profile Mount Foot (3/4" smaller than Low Profile) for Exterior Full Size Lightbar (each)</t>
  </si>
  <si>
    <t>PEMG2K04</t>
  </si>
  <si>
    <t>Standard Fixed Mount w/ Thin Pad (no Extension Bracket) for Exterior Full Size Lightbar (each) - for Pursuit rated &amp; standard hooks</t>
  </si>
  <si>
    <t>PEMG2K06</t>
  </si>
  <si>
    <t>Standard Fixed Mount w/ Thick Pad (no Extension Bracket) for Exterior Full Size Lightbar (each) - for Pursuit rated &amp; standard hooks</t>
  </si>
  <si>
    <t>PEMG2K08</t>
  </si>
  <si>
    <t>Standard Fixed Mount w/ Thick,  Thin &amp; Curved Pads (one of each and no Extension Plate) for Exterior Full Size Lightbar - for Pursuit rated &amp; standard hooks</t>
  </si>
  <si>
    <t>PEMG2K10</t>
  </si>
  <si>
    <t>Standard Fixed Mount w/ Curved Pad (no Extension Bracket) for Exterior Full Size Lightbar (each) - for Pursuit rated &amp; standard hooks</t>
  </si>
  <si>
    <t>PMPLBK00</t>
  </si>
  <si>
    <t>Standard Fixed Mount w/ Thick, Thin &amp; Curved Pads for Exterior Lightbar (each) - for Pursuit rated &amp; standard hooks</t>
  </si>
  <si>
    <t>PMPLBK01</t>
  </si>
  <si>
    <t>Standard Fixed Mount w/ Thick Pad for Exterior Lightbar (each) - for Pursuit rated &amp; standard hooks</t>
  </si>
  <si>
    <t>PMPLBK02</t>
  </si>
  <si>
    <t>Standard Fixed Mount w/ Thin Pad for Exterior Lightbar (each) - for Pursuit rated &amp; standard hooks</t>
  </si>
  <si>
    <t>PMPLBK03</t>
  </si>
  <si>
    <t>Classic Fixed Height Permanent Mount for Exterior Lightbar (each)</t>
  </si>
  <si>
    <t>PMPLBK04</t>
  </si>
  <si>
    <t>Extra Low Fixed Height Mount for Exterior Full Size Lightbar (each)</t>
  </si>
  <si>
    <t>PMPLBK06</t>
  </si>
  <si>
    <t>Headache Rack Mount for Exterior Lightbar (each)</t>
  </si>
  <si>
    <t>PMPLBK08</t>
  </si>
  <si>
    <t>Standard Fixed Mount w/ Curved Pad for Exterior Lightbar (each) - for Pursuit rated &amp; standard hooks</t>
  </si>
  <si>
    <t>PMPLBK09</t>
  </si>
  <si>
    <t>Sliding Fixed Mount for Exterior Lightbar (each)</t>
  </si>
  <si>
    <t>PMPLBKRD</t>
  </si>
  <si>
    <t>Fixed Height Reduction Plate (each) for mpower® Exterior Lightbars - for Pursuit rated &amp; standard hooks</t>
  </si>
  <si>
    <t>PNFLBK01</t>
  </si>
  <si>
    <t>Fixed Height Permanent Mount for Exterior Full Size Lightbar (each)</t>
  </si>
  <si>
    <t>PNFLBK06</t>
  </si>
  <si>
    <t>PNFLBK08</t>
  </si>
  <si>
    <t>Standard Fixed Mount w/ Thick Pad (no Extension Bracket) Exterior Full Size Lightbar (each) - for Pursuit rated &amp; standard hooks</t>
  </si>
  <si>
    <t>PNFLBK09</t>
  </si>
  <si>
    <t>XtraFit® Kit, includes: Fixed Mount w/ Hook Strap &amp; Thin Pad for Exterior Full Size Lightbar (each)</t>
  </si>
  <si>
    <t>PNFLBK10</t>
  </si>
  <si>
    <t>PNFLBK11</t>
  </si>
  <si>
    <t>Classic Fixed Height Mount Exterior Full Size Lightbar (each)</t>
  </si>
  <si>
    <t>PNFLBK12</t>
  </si>
  <si>
    <t>Premium Fixed Mount w/ Thick, Thin &amp; Curved Pads (one of each and no Extension Bracket) for Exterior Full Size Lightbar - for Pursuit rated &amp; standard hooks</t>
  </si>
  <si>
    <t>PNFLBK14</t>
  </si>
  <si>
    <t>PNRLBK02</t>
  </si>
  <si>
    <t>Headache Foot (each) for nROADS® Mini or Mid-Size Lightbars</t>
  </si>
  <si>
    <t>PNFLBF03</t>
  </si>
  <si>
    <t>Hook Kit for Standard Fixed Mount (see Vehicle Lookup under Support on our website or call for Part Numbers)</t>
  </si>
  <si>
    <t>PNFLBF08</t>
  </si>
  <si>
    <t>PNFLBF09</t>
  </si>
  <si>
    <t>PNFLBF22</t>
  </si>
  <si>
    <t>PNFLBF23</t>
  </si>
  <si>
    <t>PNFLBF25</t>
  </si>
  <si>
    <t>PNFLBF26</t>
  </si>
  <si>
    <t>PNFLBF42</t>
  </si>
  <si>
    <t>PETLF02</t>
  </si>
  <si>
    <t>Hook Kit for Low Profile Fixed Mount Bracket for Full Size Lightbars (see Vehicle Lookup under Support on our website or call for Part Numbers)</t>
  </si>
  <si>
    <t>PETLF16</t>
  </si>
  <si>
    <t>PETLF17</t>
  </si>
  <si>
    <t>PETLF33</t>
  </si>
  <si>
    <t>PETLF34</t>
  </si>
  <si>
    <t>PETLF50</t>
  </si>
  <si>
    <t>PETLF51</t>
  </si>
  <si>
    <t>PETLF52</t>
  </si>
  <si>
    <t>PETLF53</t>
  </si>
  <si>
    <t>PETLF55</t>
  </si>
  <si>
    <t>PETLF63</t>
  </si>
  <si>
    <t>PMPLBF01</t>
  </si>
  <si>
    <t>Hook Kit for Sliding Fixed Mount Bracket for Full Size Lightbars (see Vehicle Lookup under Support on our website or call for Part Numbers)</t>
  </si>
  <si>
    <t>PMPLBF03</t>
  </si>
  <si>
    <t>PMPLBF04</t>
  </si>
  <si>
    <t>PMPLBF06</t>
  </si>
  <si>
    <t>PMPLBF07</t>
  </si>
  <si>
    <t>PMPLBF10</t>
  </si>
  <si>
    <t>PMPLBF16</t>
  </si>
  <si>
    <t>PNFLBF18</t>
  </si>
  <si>
    <t>PNFLBF27</t>
  </si>
  <si>
    <t>PNFLBF28</t>
  </si>
  <si>
    <t>PNFLBF29</t>
  </si>
  <si>
    <t>PNFLBF30</t>
  </si>
  <si>
    <t>PNFLBF41</t>
  </si>
  <si>
    <t>PNFLBF45</t>
  </si>
  <si>
    <t>PNFLBF51</t>
  </si>
  <si>
    <t>PPS9HK06-SM</t>
  </si>
  <si>
    <t>Legacy Mount Adapter Kit, allows 9x7 P Screw Mount Lights to be retrofitted to industry standard hole pattern</t>
  </si>
  <si>
    <t>PLUC2LN1E</t>
  </si>
  <si>
    <t>Universal UnderCover® Lens #1, Extreme Angle</t>
  </si>
  <si>
    <t>Mounting Bracket Hardware Kit</t>
  </si>
  <si>
    <t>PNFWBMHKU04</t>
  </si>
  <si>
    <t>PMPR1HW001</t>
  </si>
  <si>
    <t>Mounting Kit for mpower® HP 2x1 &amp; 6x1 Lights, includes mounting hardware, only (no U-Shaped Bracket)</t>
  </si>
  <si>
    <t>PSLVBK01</t>
  </si>
  <si>
    <t>Mounting Kit for SL Running Light includes: Bracket, adaptor plate &amp; Hardware Kit, Ford Explorer 2020-2023, Ford Police Interceptor Utility 2020-2025</t>
  </si>
  <si>
    <t>PSLVBK02</t>
  </si>
  <si>
    <t>Mounting Kit for SL Running Light (Frame Mount) includes: Bracket &amp; Hardware Kit, Ford F-150 2015-2025 (only for 6" Extended Chrome Running Boards, 6" Extended Dark Grey Accent Running Boards, Cast Aluminum Running Boards)</t>
  </si>
  <si>
    <t>PSLVBK03</t>
  </si>
  <si>
    <t>Mounting Kit for SL Running Light includes: Bracket &amp; Hardware Kit, Chevrolet Tahoe 2021-2025, Ford Maverick 2023 - 2025</t>
  </si>
  <si>
    <t>PSLVBK04</t>
  </si>
  <si>
    <t>Mounting Kit for SL Running Light includes: Bracket &amp; Hardware Kit, Dodge Durango 2011-2023</t>
  </si>
  <si>
    <t>PSLVBK05</t>
  </si>
  <si>
    <t>Universal Mounting Kit for SL Running Light includes: Bracket &amp; Hardware Kit</t>
  </si>
  <si>
    <t>PSLVBK06</t>
  </si>
  <si>
    <t>Mounting Kit for SL Running Light (Running Board Mount) includes: Bracket &amp; Hardware Kit, Ford F-150 2015-2025 (only for Black Platform Running Boards, Step Bars in Chrome and Accent-Color, or Angular Step Bars in Accent-Color, Chrome and Stone Gray)</t>
  </si>
  <si>
    <t>RTL-PMPR1HN004</t>
  </si>
  <si>
    <t>Vehicle Harness Kit for ORV 2x1, 2x1 Dual Stacked and 6x1 Lights</t>
  </si>
  <si>
    <t>RTL-PMPLRHN001</t>
  </si>
  <si>
    <t>Vehicle Harness Kit for ORV 12", 18" &amp; 24" Lightbars</t>
  </si>
  <si>
    <t>PETLF00</t>
  </si>
  <si>
    <t>Permanent Mount Kit for Low Profile Fixed Mount Bracket</t>
  </si>
  <si>
    <t>PMP1WDG15B</t>
  </si>
  <si>
    <t>15 Degree Wedge Assembly, Black, for use with 3" Quick Mount Light</t>
  </si>
  <si>
    <t>PMP1WDG15W</t>
  </si>
  <si>
    <t>15 Degree Wedge Assembly, White, for use with 3" Quick Mount Light</t>
  </si>
  <si>
    <t>PMP2WDG15B</t>
  </si>
  <si>
    <t>15 Degree Wedge Assembly, Black, for use with 4" Quick Mount Light</t>
  </si>
  <si>
    <t>PMP2WDG15W</t>
  </si>
  <si>
    <t>15 Degree Wedge Assembly, White, for use with 4" Quick Mount Light</t>
  </si>
  <si>
    <t>PMP8WDGB02</t>
  </si>
  <si>
    <t>15 Degree Wedge Assembly, Black for mpower® Fascia 4x2 Quick Mount Light</t>
  </si>
  <si>
    <t>PMP8WDGW02</t>
  </si>
  <si>
    <t>15 Degree Wedge Assembly, White for mpower® Fascia 4x2 Quick Mount Light</t>
  </si>
  <si>
    <t>PMP1WDG35B</t>
  </si>
  <si>
    <t>35 Degree Wedge Assembly, Black for mpower® Fascia 3" Quick Mount Light</t>
  </si>
  <si>
    <t>PMP1WDG35W</t>
  </si>
  <si>
    <t>35 Degree Wedge Assembly, White for mpower® Fascia 3" Quick Mount Light</t>
  </si>
  <si>
    <t>PMP2WDG35B</t>
  </si>
  <si>
    <t>35 Degree Wedge Assembly, Black for mpower® Fascia 4" Quick Mount Light</t>
  </si>
  <si>
    <t>PMP2WDG35W</t>
  </si>
  <si>
    <t>35 Degree Wedge Assembly, White for mpower® Fascia 4" Quick Mount Light</t>
  </si>
  <si>
    <t>PMP8WDGB03</t>
  </si>
  <si>
    <t>35 Degree Wedge Assembly, Black for mpower® Fascia 4x2 Quick Mount Light</t>
  </si>
  <si>
    <t>PMP8WDGW03</t>
  </si>
  <si>
    <t>35 Degree Wedge Assembly, White for mpower® Fascia 4x2 Quick Mount Light</t>
  </si>
  <si>
    <t>PMP1WDG05B</t>
  </si>
  <si>
    <t>5 Degree Wedge Assembly, Black, for use with 3" Quick Mount Light</t>
  </si>
  <si>
    <t>PMP1WDG05W</t>
  </si>
  <si>
    <t>5 Degree Wedge Assembly, White, for use with 3" Quick Mount Light</t>
  </si>
  <si>
    <t>PMP2WDG05B</t>
  </si>
  <si>
    <t>5 Degree Wedge Assembly, Black, for use with 4" Quick Mount Light</t>
  </si>
  <si>
    <t>PMP2WDG05W</t>
  </si>
  <si>
    <t>5 Degree Wedge Assembly, White, for use with 4" Quick Mount Light</t>
  </si>
  <si>
    <t>PMP8WDGB01</t>
  </si>
  <si>
    <t>5 Degree Wedge Assembly, Black for mpower® Fascia 4x2 Quick Mount Light</t>
  </si>
  <si>
    <t>PMP8WDGW01</t>
  </si>
  <si>
    <t>5 Degree Wedge Assembly, White for mpower® Fascia 4x2 Quick Mount Light</t>
  </si>
  <si>
    <t>PMPTCM10</t>
  </si>
  <si>
    <t>Rear Facing Mounting Bracket w/ Hardware for mpower® Traffic Controller, sold individually, two brackets per Traffic Controller required, for use on Ford F-150 2021-2025, Ford F-150 Lighting 2021-2025, F-250/350 2023-2025</t>
  </si>
  <si>
    <t>ECVO6GRMT-BK</t>
  </si>
  <si>
    <t>Rubber Grommet for O6 Series Lights (6" Ovals), bulk packed</t>
  </si>
  <si>
    <t>PMP1WSDDB</t>
  </si>
  <si>
    <t>Dual Window Shroud Kit for 3" Light w/ Stud Mount - Black</t>
  </si>
  <si>
    <t>PMP1WSS2B</t>
  </si>
  <si>
    <t>Window Shroud Kit (narrow) not for use with Grille Stud Mount - Black</t>
  </si>
  <si>
    <t>PMP2WSDDB</t>
  </si>
  <si>
    <t>Dual Window Shroud Kit for 4" Light w/ Stud Mount - Black</t>
  </si>
  <si>
    <t>PMP2WSSSB</t>
  </si>
  <si>
    <t>Window Shroud Kit for 4" Light w/ Stud Mount - Black</t>
  </si>
  <si>
    <t>PMPSAWSDDB</t>
  </si>
  <si>
    <t>Dual Window Shroud Kit 4x2 Light</t>
  </si>
  <si>
    <t>PMPSAWSSSB</t>
  </si>
  <si>
    <t>Window Shroud Kit for 4x2 Light</t>
  </si>
  <si>
    <t>PNRLBK00</t>
  </si>
  <si>
    <t>Standard Fixed Height Foot (each) for nROADS® Mini or Mid-Size Lightbars</t>
  </si>
  <si>
    <t>PMP1BKUMB6</t>
  </si>
  <si>
    <t>Under Mirror Mount Kit, utilizes wedges only no bracket, Standard &amp; Tow Mirrors (Tow require 2 kits) for installation on Ford F-150 Police Pursuit &amp; Civilian Vehicles 2021-2025 and Dodge Ram 1500 (5th generation only) 2019-2025 for use with 3" Quick Mount</t>
  </si>
  <si>
    <t>PNNBCVK001</t>
  </si>
  <si>
    <t>Vehicle Gasket with Mounting Hardware for nFORCE® nxt Beacon, Chevrolet Tahoe 2021-2025</t>
  </si>
  <si>
    <t>PNNBCVK002</t>
  </si>
  <si>
    <t>Vehicle Gasket with Mounting Hardware for nFORCE® nxt Beacon, Ford Police Interceptor Utility 2021-2025</t>
  </si>
  <si>
    <t>PNNBCVK003</t>
  </si>
  <si>
    <t>Vehicle Gasket with Mounting Hardware for nFORCE® nxt Beacon, Dodge Durango 2021-2025</t>
  </si>
  <si>
    <t>PNRLBK03</t>
  </si>
  <si>
    <t>VHB Magnetic Plate Adapter Kit, includes: (1) VHB Pad &amp; (1) Metal Plate</t>
  </si>
  <si>
    <t>ENGSA5100CSP</t>
  </si>
  <si>
    <t>bluePRINT® 500 Series Console Control System with Button Control, 10-16v - 100 watt single-tone</t>
  </si>
  <si>
    <t>ENGSA5100CSR</t>
  </si>
  <si>
    <t>bluePRINT® 500 Series Console Control System with Knob Control, 10-16v - 100 watt single-tone</t>
  </si>
  <si>
    <t>ENGSA5200CSP</t>
  </si>
  <si>
    <t>bluePRINT® 500 Series Console Control System with Button Control, 10-16v - 200 watt dual-tone</t>
  </si>
  <si>
    <t>ENGSA5200CSR</t>
  </si>
  <si>
    <t>bluePRINT® 500 Series Console Control System with Knob Control, 10-16v - 200 watt dual-tone</t>
  </si>
  <si>
    <t>ENGSA5200HPP</t>
  </si>
  <si>
    <t>bluePRINT® 500 Series Handheld Remote Control System, 10-16v - 200 watt dual-tone</t>
  </si>
  <si>
    <t>ENGSA5100RSP</t>
  </si>
  <si>
    <t>bluePRINT® 500 Series Remote Control System with Button Control, 10-16v - 100 watt single-tone</t>
  </si>
  <si>
    <t>ENGSA5100RSR</t>
  </si>
  <si>
    <t>bluePRINT® 500 Series Remote Control System with Knob Control, 10-16v - 100 watt single-tone</t>
  </si>
  <si>
    <t>ENGCC01244</t>
  </si>
  <si>
    <t>bluePRINT® Central Controller, Communication Hub for use within the EV Control System - 1 Active High Ignition Input, 24 Outputs (100 Amps max), ECE R10 Certified</t>
  </si>
  <si>
    <t>ENGCNKT01</t>
  </si>
  <si>
    <t>bluePRINT Connect® powered by ACETECH™ includes: Assembly, T-Adapter Harness, Main Harness, USB Harness, CAN Single Harness, 10' Extension Harness &amp; Glass Mount Antennae. Connects with bluePRINT Central Controller or 500 Series Control System for Ford Police Interceptor Utility, 2018-2024, Ford Expedition 2018-2024, Ford F-150 2018-2020, Ford F250-350 2018-2024, Dodge Charger 2018-2024, Dodge Durango 2018-2024, RAM 1500-3500 2018-2024, Chevrolet Tahoe 2018-2024, Chevrolet Silverado 1500 2018-2024, Chevrolet 2500-3500 2018-2024</t>
  </si>
  <si>
    <t>ENGCNKT02</t>
  </si>
  <si>
    <t>bluePRINT Connect® powered by ACETECH™ package includes: Assembly, T-Adapter Harness, Main Harness, USB harness, CAN single Harness, 10' Extension Harness &amp; Glass Mount Antennae. Connects with bluePRINT Central Controller or 500 Series Control System for Ford Police Interceptor Utility 2025, Ford F-150 2021-2024</t>
  </si>
  <si>
    <t>ENGLNDH001</t>
  </si>
  <si>
    <t>bluePRINT Link® Data Harness</t>
  </si>
  <si>
    <t>ENGLMMD001</t>
  </si>
  <si>
    <t>bluePRINT Link® Micro Module for Chevrolet Tahoe 2022-2025, Silverado 1500 2024-2025 &amp; Ford F-150 2022-2025, Ford Super Duty F-250-F-550, 2024, Chevrolet Blazer EV 2024-2025</t>
  </si>
  <si>
    <t>ENGLMMD002</t>
  </si>
  <si>
    <t>bluePRINT Link® Micro Module for 2 Wire CAN Applications</t>
  </si>
  <si>
    <t>ENGLMMD004</t>
  </si>
  <si>
    <t>bluePRINT Link® Micro Module for GM 1 Wire</t>
  </si>
  <si>
    <t>ENGLMVH001</t>
  </si>
  <si>
    <t>bluePRINT Link® Micro Vehicle Harness for Chevrolet Tahoe 2022-2025, Chevrolet Silverado 1500 2022 - 2025, Chevrolet Blazer EV 2024-2025</t>
  </si>
  <si>
    <t>ENGLMVH002</t>
  </si>
  <si>
    <t>bluePRINT Link® Micro Vehicle Harness for Dodge Charger 2015-2024 &amp; Durango 2018-2025</t>
  </si>
  <si>
    <t>ENGLMVH003</t>
  </si>
  <si>
    <t>bluePRINT Link® Micro Vehicle Harness for Ford F-150 2021-2023</t>
  </si>
  <si>
    <t>ENGLMVH004</t>
  </si>
  <si>
    <t>bluePRINT Link® Micro Vehicle Harness for GM 1 Wire 2014-2021</t>
  </si>
  <si>
    <t>ENGLMVH005</t>
  </si>
  <si>
    <t>bluePRINT Link® Micro Vehicle Harness for Dodge Ram 1500 2013-2018 and Dodge Ram 1500 Classic / SSV 2019-2024, and Dodge Ram 2500-5500 2013-2024</t>
  </si>
  <si>
    <t>ENGLMVH006</t>
  </si>
  <si>
    <t>bluePRINT Link® Micro Vehicle Harness for Dodge Ram 1500 5th generation DT chassis 2019-2024</t>
  </si>
  <si>
    <t>ENGLMVH007</t>
  </si>
  <si>
    <t>bluePRINT Link® Micro Vehicle Harness for Ford Expedition 2018-2021, Ford Maverick 2022-2024</t>
  </si>
  <si>
    <t>ENGLMVH008</t>
  </si>
  <si>
    <t>bluePRINT Link® Micro Vehicle Harness for Ford Transit (2020-2023), Ford Explorer / Police Interceptor Utility (PIU) (2016-2024), Ford F150 2017-2020 only, Ford F250-F550 without large infotainment screen 2017-2022, Ford Escape 2020-2024</t>
  </si>
  <si>
    <t>ENGLMVH009</t>
  </si>
  <si>
    <t>bluePRINT Link® Micro Vehicle Harness for Ford Mustang Mach-E 2021-2025</t>
  </si>
  <si>
    <t>ENGLMVH011</t>
  </si>
  <si>
    <t>bluePRINT Link® Micro Vehicle Harness for Harley Davidson Road King 2021-2023</t>
  </si>
  <si>
    <t>ENGLMVH012</t>
  </si>
  <si>
    <t>bluePRINT Link® Micro Vehicle Harness for Ford Expedition (2022-2024) and Ford F250-F550 with large infotainment screen (12") and white OBDII connector (2021-2022)</t>
  </si>
  <si>
    <t>ENGLMVH013</t>
  </si>
  <si>
    <t>bluePRINT Link® Vehicle Harness for Ford Super Duty F250-F550, 2023-2024, Ford F-150, 2024-2025</t>
  </si>
  <si>
    <t>ENGLMVH015</t>
  </si>
  <si>
    <t>bluePRINT Link® Micro Vehicle Harness works on Ford  F-150 2021-2024</t>
  </si>
  <si>
    <t>ENGLNVH003</t>
  </si>
  <si>
    <t>bluePRINT Link® Vehicle Harness for Ford Transit Van 2015-2019, Dodge Charger 2015-2017, RAM Trucks (limited diesel support) 2013-2017</t>
  </si>
  <si>
    <t>ENGSYAT01</t>
  </si>
  <si>
    <t>bluePRINT Sync® GPS Antenna</t>
  </si>
  <si>
    <t>ENGSYMD02</t>
  </si>
  <si>
    <t>bluePRINT Sync® Module (without GPS Antenna)</t>
  </si>
  <si>
    <t>ENGND20001</t>
  </si>
  <si>
    <t>bluePRINT® Input Node - Provides 20 inputs for connection to vehicle devices, 13 Active High/Low Inputs &amp; 7 Active High Inputs, ECE R10 Certified</t>
  </si>
  <si>
    <t>ENGSCP7141</t>
  </si>
  <si>
    <t>nERGY 400 Series Multi-Function Siren w/ Button Control, bluePRINT® compatible, 10-16v - 100 watt single-tone</t>
  </si>
  <si>
    <t>ENGSCP7152</t>
  </si>
  <si>
    <t>nERGY 400 Series Multi-Function Console Siren w/ Button Control, bluePRINT® compatible, 10-16v - 200 Watt dual-tone</t>
  </si>
  <si>
    <t>ENGSCR7141</t>
  </si>
  <si>
    <t>nERGY 400 Series Multi-Function Console Siren w/ Knob Control, bluePRINT® compatible, 10-16v - 100 watt single-tone</t>
  </si>
  <si>
    <t>ENGSCR7152</t>
  </si>
  <si>
    <t>nERGY 400 Series Multi-Function Siren w/ Knob Control, bluePRINT® compatible, 10-16v - 200 watt dual-tone</t>
  </si>
  <si>
    <t>ENGSA07141</t>
  </si>
  <si>
    <t>nERGY 400 Series Remote Siren/Switch Module, bluePRINT® compatible, 10-16v - 100 watt single-tone, with Nine 10-Amp &amp; Three 20-Amp Relay Outputs</t>
  </si>
  <si>
    <t>ENGSA07152</t>
  </si>
  <si>
    <t>nERGY 400 Series Remote Siren/Switch Module, bluePRINT® compatible, 10-16v - 200 watt dual-tone, with Nine 10-Amp &amp; Three 20-Amp Relay Outputs</t>
  </si>
  <si>
    <t>ENGSA03021</t>
  </si>
  <si>
    <t>bluePRINT® 200 Series, 100 Watt Compact Remote Siren Amplifier - 10-30v - 100 watt single-tone</t>
  </si>
  <si>
    <t>PSRN5ANR11</t>
  </si>
  <si>
    <t>Replacement Amplifier Box - 100w</t>
  </si>
  <si>
    <t>PSRN5ANR12</t>
  </si>
  <si>
    <t>Replacement Amplifier Box - 200w</t>
  </si>
  <si>
    <t>PSRN5BLBK1</t>
  </si>
  <si>
    <t>Bail Bracket Kit</t>
  </si>
  <si>
    <t>PSRN5CTRL1</t>
  </si>
  <si>
    <t>Replacement Remote Control Panel for Button with option for Console mount</t>
  </si>
  <si>
    <t>PSRN5CTRL2</t>
  </si>
  <si>
    <t>Replacement Remote Control Panel for Knob with option for Console mount</t>
  </si>
  <si>
    <t>PNGCNAT01</t>
  </si>
  <si>
    <t>Glass Mount GPS Antennae for bluePRINT Connect®</t>
  </si>
  <si>
    <t>18 inch Harness Kit for Central Controller</t>
  </si>
  <si>
    <t>ENGHNK04</t>
  </si>
  <si>
    <t>15 ft Harness Kit for Central Controller</t>
  </si>
  <si>
    <t>18 inch Harness Kit for Remote Node</t>
  </si>
  <si>
    <t>ENGHNK06</t>
  </si>
  <si>
    <t>10 ft Harness Kit for Remote Node</t>
  </si>
  <si>
    <t>PNGCNHN01</t>
  </si>
  <si>
    <t>T-Adapter Harness for bluePRINT Connect® for Ford Police Interceptor Utility 2018-2024, Ford Expedition 2018-2024, Ford F-150 2018-2020, Ford F250-350 2018-2024, Dodge Charger 2018-2024, Dodge Durango 2018-2024, RAM 1500-3500 2018-2024, Chevrolet Tahoe 2018-2024, Chevrolet Silverado 1500 2018-2024, Chevrolet 2500-3500 2018-2024</t>
  </si>
  <si>
    <t>PNGCNHN02</t>
  </si>
  <si>
    <t>T-Adapter Harness for bluePRINT Connect® for Ford Police Interceptor Utility 2025, Ford F-150 2021-2024</t>
  </si>
  <si>
    <t>PNGCNHN03</t>
  </si>
  <si>
    <t>Main Harness works on Ford, GM Dodge and RAM for use with bluePRINT Connect®</t>
  </si>
  <si>
    <t>PNGCNHN04</t>
  </si>
  <si>
    <t>USB Harness for bluePRINT Connect® for Ford, GM Dodge and RAM</t>
  </si>
  <si>
    <t>PSRN5HDK1</t>
  </si>
  <si>
    <t>Harness Kit</t>
  </si>
  <si>
    <t>PSRN5MC01</t>
  </si>
  <si>
    <t>Replacement Microphone</t>
  </si>
  <si>
    <t>PSRN5MMC1</t>
  </si>
  <si>
    <t>Replacement Microphone Mounting Clip</t>
  </si>
  <si>
    <t>PSRN5LEG1</t>
  </si>
  <si>
    <t>Peel &amp; Stick Legends for Auxiliary Buttons</t>
  </si>
  <si>
    <t>PNGCP18003</t>
  </si>
  <si>
    <t>Replacement Console Face Panel for #ENGSCR7141, #ENGSCR7152</t>
  </si>
  <si>
    <t>PNGCP18004</t>
  </si>
  <si>
    <t>Replacement Console Face Panel for #ENGSCP7141, #ENGSCP7152</t>
  </si>
  <si>
    <t>PNGNDHK01</t>
  </si>
  <si>
    <t>Screw Driver with Magnet for Remote Node</t>
  </si>
  <si>
    <t>PSRN5HDK3</t>
  </si>
  <si>
    <t>Siren Remote Microphone Conversion Kit, adds a microphone jack to amplifier (includes ¼" jack and 25' extension)</t>
  </si>
  <si>
    <t>PSRN5HDK4</t>
  </si>
  <si>
    <t>Siren Remote Microphone Conversion Kit, adds a microphone jack to amplifier (includes ¼" jack)</t>
  </si>
  <si>
    <t>ENGCNHN02</t>
  </si>
  <si>
    <t>10 Ft Harness Extension for use with bluePRINT Connect®</t>
  </si>
  <si>
    <t>ENGLNDH002</t>
  </si>
  <si>
    <t>bluePRINT Link® USB Programming Cable</t>
  </si>
  <si>
    <t>ENGBRK01</t>
  </si>
  <si>
    <t>Single Remote Node Bracket for 2016-2019 Ford Police Interceptor Utility</t>
  </si>
  <si>
    <t>ENGBRK02</t>
  </si>
  <si>
    <t>Dual Remote Node Bracket for 2016-2019 Ford Police Interceptor Utility</t>
  </si>
  <si>
    <t>ENGCNHN01</t>
  </si>
  <si>
    <t>CAN Single Harness for use with bluePRINT Connect®</t>
  </si>
  <si>
    <t>ENGCNMD01</t>
  </si>
  <si>
    <t>bluePRINT Connect® Control Module</t>
  </si>
  <si>
    <t>ENGCNHK01</t>
  </si>
  <si>
    <t>Harness Kit for bluePRINT Connect® for Ford Police Interceptor Utility 2018-2024, Ford Expedition 2018-2024, Ford F-150 2018-2020, Ford F250-350 2018-2024, Dodge Charger 2018-2024, Dodge Durango 2018-2024, RAM 1500-3500 2018-2024, Chevrolet Tahoe 2018-2024, Chevrolet Silverado 1500 2018-2024, Chevrolet 2500-3500 2018-2024</t>
  </si>
  <si>
    <t>ENGCNHK02</t>
  </si>
  <si>
    <t>Harness Kit for bluePRINT Connect® for Ford Police Interceptor Utility 2025, Ford F-150 2021-2024</t>
  </si>
  <si>
    <t>ENGCNFB01</t>
  </si>
  <si>
    <t>Key Fob for use with bluePRINT Connect®</t>
  </si>
  <si>
    <t>ENGCNKT03</t>
  </si>
  <si>
    <t>Key Fob Reader and Harness for use with bluePRINT Connect®</t>
  </si>
  <si>
    <t>ENGCNBZ01</t>
  </si>
  <si>
    <t>Safety Buzzer for use with bluePRINT Connect®</t>
  </si>
  <si>
    <t>Setina Front Partitions</t>
  </si>
  <si>
    <t>Setina Single-Cell Prisoner Transport Equipment</t>
  </si>
  <si>
    <t>1K0576ITU20FR</t>
  </si>
  <si>
    <t>Single Cell Partition, 2020-26 PIU, #7VS SPT Expanded Metal</t>
  </si>
  <si>
    <t>PK0123ITU252ND</t>
  </si>
  <si>
    <t xml:space="preserve">2020-2026 PIU Rear #12VS Expanded Metal Partition </t>
  </si>
  <si>
    <t>QK0634ITU20</t>
  </si>
  <si>
    <t>2020-2026 PIU Full Transport Replacement Seat</t>
  </si>
  <si>
    <t>QK0635ITU25</t>
  </si>
  <si>
    <t>2020-2026 PIU Replacement Seat w/ #12 Expanded Metal Partition</t>
  </si>
  <si>
    <t>1K0576TAH21FR</t>
  </si>
  <si>
    <t>Single Cell Partition, 2021-26 Tahoe, #7VS SPT Expanded Metal Partition</t>
  </si>
  <si>
    <t>PK0123TAH212ND</t>
  </si>
  <si>
    <t>2021-26 Tahoe, Rear #12VS Expanded Metal Partition</t>
  </si>
  <si>
    <t>QK1374TAH21</t>
  </si>
  <si>
    <t>2021-26 Tahoe, Full Transport Replacement Seat</t>
  </si>
  <si>
    <t xml:space="preserve">QK2023TAH21 </t>
  </si>
  <si>
    <t>2021-26 Tahoe, Replacement Seat w/ #12 Expanded Metal Partition</t>
  </si>
  <si>
    <t>1K0576DUR11FSR</t>
  </si>
  <si>
    <t>Single Cell Partition, 2011-2025 Durango, #7VS SPT Expanded Metal Partition</t>
  </si>
  <si>
    <t>PK0123DUR112ND</t>
  </si>
  <si>
    <t>2011-2025 Durango, #12VS Expanded Metal Partition</t>
  </si>
  <si>
    <t>QK0634DUR11</t>
  </si>
  <si>
    <t>2011-2025 Durango, Full Transport Replacement Seat</t>
  </si>
  <si>
    <t>QK0635DUR11</t>
  </si>
  <si>
    <t>2011-2025 Durango, Replacement Seat w/ #12 Expanded Metal Partition</t>
  </si>
  <si>
    <t>Soundoff Signal Soundoff Signal EWL9111SL Golight® SL Remote Control Spotlight, Driver Side, Dash Control included, Plus PWLHN004 Golight® SL Dash Control Harness, use with bluePRINT® 500 Series Siren, Plus PWLBK003 Golight® SL Bracket, Driver Side Mount for use on Chevrolet Tahoe 2021-2025, Plus PWLTP001 Golight® SL Template, Driver Side for use on Tahoe 2021-2025 (to prepare vehicles for bracketry)</t>
  </si>
  <si>
    <t>Axon Services</t>
  </si>
  <si>
    <t>$125/Hr</t>
  </si>
  <si>
    <t>Panasonic Services</t>
  </si>
  <si>
    <t>I-PRO Services</t>
  </si>
  <si>
    <t>Getac Services</t>
  </si>
  <si>
    <t>Dell Services</t>
  </si>
  <si>
    <t>Watchgard Services</t>
  </si>
  <si>
    <t>Motorola Services</t>
  </si>
  <si>
    <t>Patrol PC Services</t>
  </si>
  <si>
    <t>Zebra Services</t>
  </si>
  <si>
    <t>Brother Services</t>
  </si>
  <si>
    <t>Utility Services</t>
  </si>
  <si>
    <t>Kenwood Services</t>
  </si>
  <si>
    <t>Kustom Signal Services</t>
  </si>
  <si>
    <t>Pro Vision Services</t>
  </si>
  <si>
    <t>Safety Vision Services</t>
  </si>
  <si>
    <t>Line-X Bed Spray</t>
  </si>
  <si>
    <t>$500-$2000+</t>
  </si>
  <si>
    <t>Rhino Liner Spray</t>
  </si>
  <si>
    <t>LINEX_****</t>
  </si>
  <si>
    <t>RHINO_****</t>
  </si>
  <si>
    <t>AXON_SERV</t>
  </si>
  <si>
    <t>GETAC_SERV</t>
  </si>
  <si>
    <t>DELL_SERV</t>
  </si>
  <si>
    <t>ZEBRA_SERV</t>
  </si>
  <si>
    <t>UTILITY_SERV</t>
  </si>
  <si>
    <t>KUSTOM_SERV</t>
  </si>
  <si>
    <t>PAN_SERV</t>
  </si>
  <si>
    <t>IPRO_SERV</t>
  </si>
  <si>
    <t>WGARD_SERV</t>
  </si>
  <si>
    <t>MOT_SERV</t>
  </si>
  <si>
    <t>PATPC_SERV</t>
  </si>
  <si>
    <t>BRO_SERV</t>
  </si>
  <si>
    <t>KWOOD_SERV</t>
  </si>
  <si>
    <t>PROVIS_SERV</t>
  </si>
  <si>
    <t>SAFEVIS_SERV</t>
  </si>
  <si>
    <t>4200 Series 4" Beacon - Flat/Pipe Mount</t>
  </si>
  <si>
    <t>$236.00</t>
  </si>
  <si>
    <t>4200 Series 4" Beacon - Magnetic Mount</t>
  </si>
  <si>
    <t>$278.00</t>
  </si>
  <si>
    <t>4200 Series 6" Beacon - Flat/Pipe Mount</t>
  </si>
  <si>
    <t>4200 Series 6" Beacon - Magnetic Mount</t>
  </si>
  <si>
    <t>4500 Series 4" Beacon - Flat/Pipe Mount</t>
  </si>
  <si>
    <t>$392.00</t>
  </si>
  <si>
    <t>4500 Series 4" Beacon - Magnetic Mount</t>
  </si>
  <si>
    <t>$429.00</t>
  </si>
  <si>
    <t>4500 Series 6" Beacon - Flat/Pipe Mount</t>
  </si>
  <si>
    <t>4500 Series 6" Beacon - Magnetic Mount</t>
  </si>
  <si>
    <t>Ford Dual 360 Degree Light Kit - Ford F-150 High Dome</t>
  </si>
  <si>
    <t>$1371.00</t>
  </si>
  <si>
    <t>$1319.00</t>
  </si>
  <si>
    <t>Ford Dual 360 Degree Light Kit - Ford F-150 Low Dome</t>
  </si>
  <si>
    <t>$1218.00</t>
  </si>
  <si>
    <t>$1208.00</t>
  </si>
  <si>
    <t>Ford Dual 360 Degree Light Kit - Ford Super Duty High Dome</t>
  </si>
  <si>
    <t>Ford Dual 360 Degree Light Kit - Ford Super Duty Low Dome</t>
  </si>
  <si>
    <t>nFORCE nxt Red/White Beacon</t>
  </si>
  <si>
    <t>$4285.00</t>
  </si>
  <si>
    <t>CONTROL SYSTEM</t>
  </si>
  <si>
    <t>8-Button Controller</t>
  </si>
  <si>
    <t>$1163.00</t>
  </si>
  <si>
    <t>DIRECTIONAL WARNING</t>
  </si>
  <si>
    <t>72" Smart Arrow Board</t>
  </si>
  <si>
    <t>$8200.00</t>
  </si>
  <si>
    <t>$10200.00</t>
  </si>
  <si>
    <t>$12500.00</t>
  </si>
  <si>
    <t>$15200.00</t>
  </si>
  <si>
    <t>$17200.00</t>
  </si>
  <si>
    <t>$19500.00</t>
  </si>
  <si>
    <t>mpower Arrow</t>
  </si>
  <si>
    <t>$1926.00</t>
  </si>
  <si>
    <t>$2413.00</t>
  </si>
  <si>
    <t>mpower Arrow Harness Kit</t>
  </si>
  <si>
    <t>$625.00</t>
  </si>
  <si>
    <t>$647.00</t>
  </si>
  <si>
    <t>$712.00</t>
  </si>
  <si>
    <t>$735.00</t>
  </si>
  <si>
    <t>TM100 Traffic Controller</t>
  </si>
  <si>
    <t>$671.00</t>
  </si>
  <si>
    <t>UltraLITE - Windshield</t>
  </si>
  <si>
    <t>$313.00</t>
  </si>
  <si>
    <t>UltraLITE Plus - Arrow Ends</t>
  </si>
  <si>
    <t>$2834.00</t>
  </si>
  <si>
    <t>UltraLITE Plus - Exterior</t>
  </si>
  <si>
    <t>$323.00</t>
  </si>
  <si>
    <t>$577.00</t>
  </si>
  <si>
    <t>$988.00</t>
  </si>
  <si>
    <t>$1311.00</t>
  </si>
  <si>
    <t>UltraLITE Plus - Interior</t>
  </si>
  <si>
    <t>$514.00</t>
  </si>
  <si>
    <t>$900.00</t>
  </si>
  <si>
    <t>$1190.00</t>
  </si>
  <si>
    <t>UltraLITE Plus - Windshield</t>
  </si>
  <si>
    <t>$533.00</t>
  </si>
  <si>
    <t>$939.00</t>
  </si>
  <si>
    <t>$1248.00</t>
  </si>
  <si>
    <t>ELECTRONICS</t>
  </si>
  <si>
    <t>600 Series Switch</t>
  </si>
  <si>
    <t>$195.00</t>
  </si>
  <si>
    <t>800 Series Multi-purpose Control Panel</t>
  </si>
  <si>
    <t>$315.00</t>
  </si>
  <si>
    <t>$240.00</t>
  </si>
  <si>
    <t>900 Series Switch</t>
  </si>
  <si>
    <t>$260.00</t>
  </si>
  <si>
    <t>Directional Arrow Switch</t>
  </si>
  <si>
    <t>$219.00</t>
  </si>
  <si>
    <t>$207.00</t>
  </si>
  <si>
    <t>FLASHBACK Alternating Taillight Flasher</t>
  </si>
  <si>
    <t>$128.00</t>
  </si>
  <si>
    <t>$108.00</t>
  </si>
  <si>
    <t>Headlight Flasher</t>
  </si>
  <si>
    <t>$210.00</t>
  </si>
  <si>
    <t>Headlight Flasher Kit</t>
  </si>
  <si>
    <t>$373.00</t>
  </si>
  <si>
    <t>Ignition Security System</t>
  </si>
  <si>
    <t>$231.00</t>
  </si>
  <si>
    <t>Opticom Preemption</t>
  </si>
  <si>
    <t>$3717.00</t>
  </si>
  <si>
    <t>Select-A-Pattern Headlight Flashers</t>
  </si>
  <si>
    <t>$116.00</t>
  </si>
  <si>
    <t>$99.00</t>
  </si>
  <si>
    <t>Taillight Flasher Kit</t>
  </si>
  <si>
    <t>$444.00</t>
  </si>
  <si>
    <t>$555.00</t>
  </si>
  <si>
    <t>$62.00</t>
  </si>
  <si>
    <t>INTERIOR LIGHTING</t>
  </si>
  <si>
    <t>Dome Light - Rectangular</t>
  </si>
  <si>
    <t>$112.00</t>
  </si>
  <si>
    <t>$59.00</t>
  </si>
  <si>
    <t>Novalux - Recess Mount</t>
  </si>
  <si>
    <t>$103.00</t>
  </si>
  <si>
    <t>Novalux - Surface Mount</t>
  </si>
  <si>
    <t>obSERVE Dome Light - 8"</t>
  </si>
  <si>
    <t>$178.00</t>
  </si>
  <si>
    <t>obSERVE Dome Light, 6"</t>
  </si>
  <si>
    <t>$165.00</t>
  </si>
  <si>
    <t>obSERVE+ Dome Light - 3"</t>
  </si>
  <si>
    <t>$115.00</t>
  </si>
  <si>
    <t>$125.00</t>
  </si>
  <si>
    <t>Strip Interior Light</t>
  </si>
  <si>
    <t>$204.00</t>
  </si>
  <si>
    <t>$404.00</t>
  </si>
  <si>
    <t>$109.00</t>
  </si>
  <si>
    <t>KITS</t>
  </si>
  <si>
    <t>Rapid Deployment Vehicle Warning Kit</t>
  </si>
  <si>
    <t>$4738.00</t>
  </si>
  <si>
    <t>$5356.00</t>
  </si>
  <si>
    <t>LIGHTBAR</t>
  </si>
  <si>
    <t>Chevrolet Silverado Interior Lightbar</t>
  </si>
  <si>
    <t>$908.99</t>
  </si>
  <si>
    <t>Ford Expedition Interior Lightbar</t>
  </si>
  <si>
    <t>Ford F-150 Interior Lightbar</t>
  </si>
  <si>
    <t>Ford Super Duty Interior Lightbar</t>
  </si>
  <si>
    <t>Jeep Interior Lightbar</t>
  </si>
  <si>
    <t>$661.99</t>
  </si>
  <si>
    <t>$833.99</t>
  </si>
  <si>
    <t>$1004.99</t>
  </si>
  <si>
    <t>Pinnacle 7000 Mini Lightbar</t>
  </si>
  <si>
    <t>$585.00</t>
  </si>
  <si>
    <t>$649.00</t>
  </si>
  <si>
    <t>$619.00</t>
  </si>
  <si>
    <t>$631.00</t>
  </si>
  <si>
    <t>Pinnacle Mini 7300 Lightbar</t>
  </si>
  <si>
    <t>$484.00</t>
  </si>
  <si>
    <t>$393.00</t>
  </si>
  <si>
    <t>$504.00</t>
  </si>
  <si>
    <t>MARKER-SIGNAL-WARN</t>
  </si>
  <si>
    <t>6" Oval Light - Backup</t>
  </si>
  <si>
    <t>$107.00</t>
  </si>
  <si>
    <t>6" Oval Light - Signal</t>
  </si>
  <si>
    <t>$91.00</t>
  </si>
  <si>
    <t>Compact License Plate Light</t>
  </si>
  <si>
    <t>PERIMETER LIGHTING</t>
  </si>
  <si>
    <t>Bolt 2</t>
  </si>
  <si>
    <t>$142.00</t>
  </si>
  <si>
    <t>Ford 4-Corner Strobe Kit - Super Duty</t>
  </si>
  <si>
    <t>$1469.00</t>
  </si>
  <si>
    <t>GHOST Single - Deck/Grille Mount</t>
  </si>
  <si>
    <t>$216.00</t>
  </si>
  <si>
    <t>GHOST Single - Surface Mount</t>
  </si>
  <si>
    <t>Intersector Light - Surface Mount</t>
  </si>
  <si>
    <t>$327.00</t>
  </si>
  <si>
    <t>$382.00</t>
  </si>
  <si>
    <t>Intersector Light - Under Mirror Mount</t>
  </si>
  <si>
    <t>LED3 Plus</t>
  </si>
  <si>
    <t>$121.00</t>
  </si>
  <si>
    <t>mpower 6x4 - Quick Mount</t>
  </si>
  <si>
    <t>$543.00</t>
  </si>
  <si>
    <t>$492.00</t>
  </si>
  <si>
    <t>$608.00</t>
  </si>
  <si>
    <t>$466.00</t>
  </si>
  <si>
    <t>$440.00</t>
  </si>
  <si>
    <t>$421.00</t>
  </si>
  <si>
    <t>mpower 6x4 - Screw Mount</t>
  </si>
  <si>
    <t>mpower 6x4 - Stud Mount</t>
  </si>
  <si>
    <t>mpower 7x3 - Quick Mount</t>
  </si>
  <si>
    <t>$592.00</t>
  </si>
  <si>
    <t>mpower 7x3 - Screw Mount</t>
  </si>
  <si>
    <t>mpower 7x3 - Stud Mount</t>
  </si>
  <si>
    <t>mpower 7x3 Scene Light - Quick Mount</t>
  </si>
  <si>
    <t>$569.00</t>
  </si>
  <si>
    <t>mpower 7x3 Scene Light - Screw Mount</t>
  </si>
  <si>
    <t>mpower 7x3 Scene Light - Stud Mount</t>
  </si>
  <si>
    <t>mpower 9x7 - Screw Mount</t>
  </si>
  <si>
    <t>$694.00</t>
  </si>
  <si>
    <t>$799.00</t>
  </si>
  <si>
    <t>$850.00</t>
  </si>
  <si>
    <t>$652.00</t>
  </si>
  <si>
    <t>mpower 9x7 - Stud Mount</t>
  </si>
  <si>
    <t>mpower Fascia 3" 3-wire - Quick Mount</t>
  </si>
  <si>
    <t>$155.00</t>
  </si>
  <si>
    <t>$226.00</t>
  </si>
  <si>
    <t>$250.00</t>
  </si>
  <si>
    <t>mpower Fascia 3" 3-wire - Screw Mount</t>
  </si>
  <si>
    <t>mpower Fascia 3" 3-wire - Stud Mount</t>
  </si>
  <si>
    <t>mpower Fascia 4" 3-wire - Quick Mount</t>
  </si>
  <si>
    <t>$215.00</t>
  </si>
  <si>
    <t>$252.00</t>
  </si>
  <si>
    <t>$280.00</t>
  </si>
  <si>
    <t>mpower Fascia 4" 3-wire - Screw Mount</t>
  </si>
  <si>
    <t>mpower Fascia 4" 3-wire - Stud Mount</t>
  </si>
  <si>
    <t>mpower Fascia 4x2 - Quick Mount</t>
  </si>
  <si>
    <t>$306.00</t>
  </si>
  <si>
    <t>$320.00</t>
  </si>
  <si>
    <t>mpower Fascia 4x2 - Screw Mount</t>
  </si>
  <si>
    <t>mpower Fascia 4x2 - Stud Mount</t>
  </si>
  <si>
    <t>mpower HP 2x1</t>
  </si>
  <si>
    <t>$639.00</t>
  </si>
  <si>
    <t>$1064.00</t>
  </si>
  <si>
    <t>mpower Interior Chase Light</t>
  </si>
  <si>
    <t>$632.00</t>
  </si>
  <si>
    <t>mpower ORV 2x1</t>
  </si>
  <si>
    <t>$579.99</t>
  </si>
  <si>
    <t>mpower® Fascia 3"</t>
  </si>
  <si>
    <t>mpower® Fascia 4"</t>
  </si>
  <si>
    <t>$245.00</t>
  </si>
  <si>
    <t>$266.00</t>
  </si>
  <si>
    <t>$282.00</t>
  </si>
  <si>
    <t>$310.00</t>
  </si>
  <si>
    <t>mpower® HD Light</t>
  </si>
  <si>
    <t>mpower® HP 6x1</t>
  </si>
  <si>
    <t>$487.00</t>
  </si>
  <si>
    <t>mpower® ORV 6x1</t>
  </si>
  <si>
    <t>$497.99</t>
  </si>
  <si>
    <t>$539.99</t>
  </si>
  <si>
    <t>mpower® ORV Chase Light Kit</t>
  </si>
  <si>
    <t>$673.99</t>
  </si>
  <si>
    <t>nFORCE Dual Light - Deck/Grille Mount</t>
  </si>
  <si>
    <t>$469.00</t>
  </si>
  <si>
    <t>$513.00</t>
  </si>
  <si>
    <t>$537.00</t>
  </si>
  <si>
    <t>$609.00</t>
  </si>
  <si>
    <t>nFORCE Dual Light - Windshield Mount Permanent</t>
  </si>
  <si>
    <t>$488.00</t>
  </si>
  <si>
    <t>$532.00</t>
  </si>
  <si>
    <t>$556.00</t>
  </si>
  <si>
    <t>$628.00</t>
  </si>
  <si>
    <t>nFORCE Dual Light - Windshield Mount Suction Cup</t>
  </si>
  <si>
    <t>$476.00</t>
  </si>
  <si>
    <t>$520.00</t>
  </si>
  <si>
    <t>$544.00</t>
  </si>
  <si>
    <t>$616.00</t>
  </si>
  <si>
    <t>nFORCE Single Light - Deck/Grille Mount</t>
  </si>
  <si>
    <t>$239.00</t>
  </si>
  <si>
    <t>$261.00</t>
  </si>
  <si>
    <t>$273.00</t>
  </si>
  <si>
    <t>nFORCE Single Light - Oval</t>
  </si>
  <si>
    <t>$243.00</t>
  </si>
  <si>
    <t>$265.00</t>
  </si>
  <si>
    <t>$277.00</t>
  </si>
  <si>
    <t>nFORCE Single Light - Recess Mount</t>
  </si>
  <si>
    <t>$221.00</t>
  </si>
  <si>
    <t>$255.00</t>
  </si>
  <si>
    <t>$291.00</t>
  </si>
  <si>
    <t>nFORCE Single Light - Surface Mount</t>
  </si>
  <si>
    <t>nFORCE Single Light - Windshield Mount Permanent</t>
  </si>
  <si>
    <t>$257.00</t>
  </si>
  <si>
    <t>$279.00</t>
  </si>
  <si>
    <t>$272.00</t>
  </si>
  <si>
    <t>$284.00</t>
  </si>
  <si>
    <t>nFUSE 6x4 P Light - Screw Mount</t>
  </si>
  <si>
    <t>$339.00</t>
  </si>
  <si>
    <t>nFUSE 6x4 P Light - Stud Mount</t>
  </si>
  <si>
    <t>nFUSE 7x3 P Light - Screw Mount</t>
  </si>
  <si>
    <t>$358.00</t>
  </si>
  <si>
    <t>nFUSE 7x3 P Light - Stud Mount</t>
  </si>
  <si>
    <t>nFUSE 9x7 P Light - Screw Mount</t>
  </si>
  <si>
    <t>$449.00</t>
  </si>
  <si>
    <t>$564.00</t>
  </si>
  <si>
    <t>nFUSE 9x7 P Light - Stud Mount</t>
  </si>
  <si>
    <t>SL Running Light</t>
  </si>
  <si>
    <t>$190.00</t>
  </si>
  <si>
    <t>$553.00</t>
  </si>
  <si>
    <t>$676.00</t>
  </si>
  <si>
    <t>$768.00</t>
  </si>
  <si>
    <t>Universal UnderCover Insert</t>
  </si>
  <si>
    <t>$171.00</t>
  </si>
  <si>
    <t>$193.00</t>
  </si>
  <si>
    <t>$264.00</t>
  </si>
  <si>
    <t>$285.00</t>
  </si>
  <si>
    <t>Warning &amp; Marker Lights</t>
  </si>
  <si>
    <t>XF Flush Mount Light</t>
  </si>
  <si>
    <t>$133.00</t>
  </si>
  <si>
    <t>SIRENS</t>
  </si>
  <si>
    <t>200 Series Siren</t>
  </si>
  <si>
    <t>$451.00</t>
  </si>
  <si>
    <t>$498.00</t>
  </si>
  <si>
    <t>FR100 Series Siren</t>
  </si>
  <si>
    <t>$617.00</t>
  </si>
  <si>
    <t>nERGY 400 Series Console Siren - Button, 1 speaker</t>
  </si>
  <si>
    <t>$884.00</t>
  </si>
  <si>
    <t>nERGY 400 Series Console Siren - Button, 2 speaker</t>
  </si>
  <si>
    <t>$1038.00</t>
  </si>
  <si>
    <t>nERGY 400 Series Console Siren - Knob, 1 speaker</t>
  </si>
  <si>
    <t>nERGY 400 Series Handheld Siren - 1 speaker</t>
  </si>
  <si>
    <t>$898.00</t>
  </si>
  <si>
    <t>nERGY 400 Series Handheld Siren - 2 speaker</t>
  </si>
  <si>
    <t>$1025.00</t>
  </si>
  <si>
    <t>$1041.00</t>
  </si>
  <si>
    <t>nERGY 400 Series Remote Siren - Button, 1 speaker</t>
  </si>
  <si>
    <t>$1232.00</t>
  </si>
  <si>
    <t>nERGY 400 Series Remote Siren - Knob, 1 speaker</t>
  </si>
  <si>
    <t>nERGY 400 Series Remote Siren - Knob, 2 speaker</t>
  </si>
  <si>
    <t>$1342.00</t>
  </si>
  <si>
    <t>SPEAKERS</t>
  </si>
  <si>
    <t>100J Speaker</t>
  </si>
  <si>
    <t>$465.00</t>
  </si>
  <si>
    <t>100N Speaker</t>
  </si>
  <si>
    <t>$536.00</t>
  </si>
  <si>
    <t>100U Speaker</t>
  </si>
  <si>
    <t>$510.00</t>
  </si>
  <si>
    <t>50M Speaker</t>
  </si>
  <si>
    <t>$184.00</t>
  </si>
  <si>
    <t>Aftershock Speaker</t>
  </si>
  <si>
    <t>$841.00</t>
  </si>
  <si>
    <t>WORK AREA LIGHTING</t>
  </si>
  <si>
    <t>Banksman BM3</t>
  </si>
  <si>
    <t>Calisto</t>
  </si>
  <si>
    <t>$53.00</t>
  </si>
  <si>
    <t>PAR36 Work Light</t>
  </si>
  <si>
    <t>$220.00</t>
  </si>
  <si>
    <t>$296.00</t>
  </si>
  <si>
    <t>$314.00</t>
  </si>
  <si>
    <t>PAR46 Unity</t>
  </si>
  <si>
    <t>$425.00</t>
  </si>
  <si>
    <t>Scenelite SI7</t>
  </si>
  <si>
    <t>$242.00</t>
  </si>
  <si>
    <t>SERVICE PARTS</t>
  </si>
  <si>
    <t>12" Lens</t>
  </si>
  <si>
    <t>$151.00</t>
  </si>
  <si>
    <t>$169.00</t>
  </si>
  <si>
    <t>12" Outer Lens</t>
  </si>
  <si>
    <t>$175.00</t>
  </si>
  <si>
    <t>$230.00</t>
  </si>
  <si>
    <t>15' Standard Power Harness</t>
  </si>
  <si>
    <t>$113.00</t>
  </si>
  <si>
    <t>$387.00</t>
  </si>
  <si>
    <t>$163.00</t>
  </si>
  <si>
    <t>25' Standard Power Harness</t>
  </si>
  <si>
    <t>$162.00</t>
  </si>
  <si>
    <t>$241.00</t>
  </si>
  <si>
    <t>$51.00</t>
  </si>
  <si>
    <t>6" Gromment &amp; Housing</t>
  </si>
  <si>
    <t>$26.00</t>
  </si>
  <si>
    <t>6" Lens</t>
  </si>
  <si>
    <t>$106.00</t>
  </si>
  <si>
    <t>$122.00</t>
  </si>
  <si>
    <t>Amplifier Box</t>
  </si>
  <si>
    <t>$700.00</t>
  </si>
  <si>
    <t>$961.00</t>
  </si>
  <si>
    <t>Auto Dim Alley Y-Harness</t>
  </si>
  <si>
    <t>$9.00</t>
  </si>
  <si>
    <t>Auto Dim Board</t>
  </si>
  <si>
    <t>$64.00</t>
  </si>
  <si>
    <t>$92.00</t>
  </si>
  <si>
    <t>$76.00</t>
  </si>
  <si>
    <t>$98.00</t>
  </si>
  <si>
    <t>Auto Dim Mod ID Board - Clear Top Cover</t>
  </si>
  <si>
    <t>$77.00</t>
  </si>
  <si>
    <t>Auto Dim Mod ID Board - Color Top Cover</t>
  </si>
  <si>
    <t>Auto Dim Replacement Kit</t>
  </si>
  <si>
    <t>Auto Dim Retro Fit Kit</t>
  </si>
  <si>
    <t>Backlight with Harness</t>
  </si>
  <si>
    <t>$43.00</t>
  </si>
  <si>
    <t>Bail Bracket</t>
  </si>
  <si>
    <t>$11.00</t>
  </si>
  <si>
    <t>$47.00</t>
  </si>
  <si>
    <t>$34.00</t>
  </si>
  <si>
    <t>$46.00</t>
  </si>
  <si>
    <t>$25.00</t>
  </si>
  <si>
    <t>Base Plate Kit</t>
  </si>
  <si>
    <t>$17.00</t>
  </si>
  <si>
    <t>$60.00</t>
  </si>
  <si>
    <t>Beacon Base</t>
  </si>
  <si>
    <t>$71.00</t>
  </si>
  <si>
    <t>Beacon Dome</t>
  </si>
  <si>
    <t>$368.00</t>
  </si>
  <si>
    <t>$85.00</t>
  </si>
  <si>
    <t>Beacon F-Gasket</t>
  </si>
  <si>
    <t>Beacon Module</t>
  </si>
  <si>
    <t>$157.00</t>
  </si>
  <si>
    <t>$119.00</t>
  </si>
  <si>
    <t>Beacon Mount Base</t>
  </si>
  <si>
    <t>Beacon O-Ring</t>
  </si>
  <si>
    <t>$18.00</t>
  </si>
  <si>
    <t>$36.00</t>
  </si>
  <si>
    <t>$4.00</t>
  </si>
  <si>
    <t>Beacon Set Screw</t>
  </si>
  <si>
    <t>$145.00</t>
  </si>
  <si>
    <t>Blank Module Population Kit</t>
  </si>
  <si>
    <t>$19.00</t>
  </si>
  <si>
    <t>$70.00</t>
  </si>
  <si>
    <t>Bracket Holster</t>
  </si>
  <si>
    <t>$14.00</t>
  </si>
  <si>
    <t>Branch Guard</t>
  </si>
  <si>
    <t>$35.00</t>
  </si>
  <si>
    <t>Breakout Box</t>
  </si>
  <si>
    <t>$206.00</t>
  </si>
  <si>
    <t>$254.00</t>
  </si>
  <si>
    <t>Cable</t>
  </si>
  <si>
    <t>Center Spacer</t>
  </si>
  <si>
    <t>$5.00</t>
  </si>
  <si>
    <t>CHMSL Bezel</t>
  </si>
  <si>
    <t>$82.00</t>
  </si>
  <si>
    <t>CHMSL Bezel with Light</t>
  </si>
  <si>
    <t>$511.00</t>
  </si>
  <si>
    <t>Cigar Plug</t>
  </si>
  <si>
    <t>$33.00</t>
  </si>
  <si>
    <t>Clear Divider</t>
  </si>
  <si>
    <t>$15.00</t>
  </si>
  <si>
    <t>$20.00</t>
  </si>
  <si>
    <t>$22.00</t>
  </si>
  <si>
    <t>Clear Dust Cover</t>
  </si>
  <si>
    <t>Combination Board</t>
  </si>
  <si>
    <t>Combination Mount Kit</t>
  </si>
  <si>
    <t>$197.00</t>
  </si>
  <si>
    <t>$228.00</t>
  </si>
  <si>
    <t>Console Face Panel</t>
  </si>
  <si>
    <t>$294.00</t>
  </si>
  <si>
    <t>$319.00</t>
  </si>
  <si>
    <t>Control Panel</t>
  </si>
  <si>
    <t>$354.00</t>
  </si>
  <si>
    <t>Controller</t>
  </si>
  <si>
    <t>$348.00</t>
  </si>
  <si>
    <t>$468.00</t>
  </si>
  <si>
    <t>$234.00</t>
  </si>
  <si>
    <t>D-Pillar Adhesive Strip Kit</t>
  </si>
  <si>
    <t>D-Pillar Hardware Kit</t>
  </si>
  <si>
    <t>D-Pillar Tinnerman Clip</t>
  </si>
  <si>
    <t>$13.00</t>
  </si>
  <si>
    <t>Data Cable for Break Out Box</t>
  </si>
  <si>
    <t>$118.00</t>
  </si>
  <si>
    <t>$74.00</t>
  </si>
  <si>
    <t>Dome - 12"</t>
  </si>
  <si>
    <t>$67.00</t>
  </si>
  <si>
    <t>Dome - 4"</t>
  </si>
  <si>
    <t>$39.00</t>
  </si>
  <si>
    <t>Dome - 6"</t>
  </si>
  <si>
    <t>$41.00</t>
  </si>
  <si>
    <t>$38.00</t>
  </si>
  <si>
    <t>Dome - Bottom</t>
  </si>
  <si>
    <t>Dome - End Cap</t>
  </si>
  <si>
    <t>$58.00</t>
  </si>
  <si>
    <t>$32.00</t>
  </si>
  <si>
    <t>Dome - High</t>
  </si>
  <si>
    <t>Dome - Inner</t>
  </si>
  <si>
    <t>$29.00</t>
  </si>
  <si>
    <t>Dome - Low</t>
  </si>
  <si>
    <t>Dome - Middle</t>
  </si>
  <si>
    <t>Dome - Outer</t>
  </si>
  <si>
    <t>Dome Lens</t>
  </si>
  <si>
    <t>Dome Strap</t>
  </si>
  <si>
    <t>$12.00</t>
  </si>
  <si>
    <t>Dress Ring</t>
  </si>
  <si>
    <t>Driver Board</t>
  </si>
  <si>
    <t>$24.00</t>
  </si>
  <si>
    <t>$89.00</t>
  </si>
  <si>
    <t>$117.00</t>
  </si>
  <si>
    <t>$120.00</t>
  </si>
  <si>
    <t>$130.00</t>
  </si>
  <si>
    <t>Driver Board Cover</t>
  </si>
  <si>
    <t>$6.00</t>
  </si>
  <si>
    <t>Driver Side mpower® D-Pillar Bracket</t>
  </si>
  <si>
    <t>Driver/Distribution Board</t>
  </si>
  <si>
    <t>$88.00</t>
  </si>
  <si>
    <t>End Cap</t>
  </si>
  <si>
    <t>End Cap Heat Sink Lug Kit</t>
  </si>
  <si>
    <t>End Spacer</t>
  </si>
  <si>
    <t>Extension Cable</t>
  </si>
  <si>
    <t>$50.00</t>
  </si>
  <si>
    <t>Exterior Lightbar Driver</t>
  </si>
  <si>
    <t>External Power Harness</t>
  </si>
  <si>
    <t>$75.00</t>
  </si>
  <si>
    <t>Extrusion End Cap</t>
  </si>
  <si>
    <t>$8.00</t>
  </si>
  <si>
    <t>Flat Mount Kit</t>
  </si>
  <si>
    <t>Flat Surface Mount Gasket</t>
  </si>
  <si>
    <t>Foam Strip</t>
  </si>
  <si>
    <t>Foot Cap</t>
  </si>
  <si>
    <t>Ford 360 Degree Beacon Light</t>
  </si>
  <si>
    <t>$79.00</t>
  </si>
  <si>
    <t>$52.00</t>
  </si>
  <si>
    <t>$61.00</t>
  </si>
  <si>
    <t>Fuse Cover</t>
  </si>
  <si>
    <t>$3.00</t>
  </si>
  <si>
    <t>Fuse Kit</t>
  </si>
  <si>
    <t>Gasket</t>
  </si>
  <si>
    <t>$21.00</t>
  </si>
  <si>
    <t>$7.00</t>
  </si>
  <si>
    <t>$28.00</t>
  </si>
  <si>
    <t>Grommet</t>
  </si>
  <si>
    <t>Hardware Kit</t>
  </si>
  <si>
    <t>$40.00</t>
  </si>
  <si>
    <t>$44.00</t>
  </si>
  <si>
    <t>$30.00</t>
  </si>
  <si>
    <t>$97.00</t>
  </si>
  <si>
    <t>$80.00</t>
  </si>
  <si>
    <t>Hardware Kit - 4 mm</t>
  </si>
  <si>
    <t>$42.00</t>
  </si>
  <si>
    <t>Hardware Kit - 9 mm</t>
  </si>
  <si>
    <t>Harness</t>
  </si>
  <si>
    <t>$611.00</t>
  </si>
  <si>
    <t>$55.00</t>
  </si>
  <si>
    <t>$68.00</t>
  </si>
  <si>
    <t>$69.00</t>
  </si>
  <si>
    <t>$149.00</t>
  </si>
  <si>
    <t>$54.00</t>
  </si>
  <si>
    <t>$31.00</t>
  </si>
  <si>
    <t>$237.00</t>
  </si>
  <si>
    <t>$305.00</t>
  </si>
  <si>
    <t>$205.00</t>
  </si>
  <si>
    <t>$302.00</t>
  </si>
  <si>
    <t>$364.00</t>
  </si>
  <si>
    <t>$212.00</t>
  </si>
  <si>
    <t>$287.00</t>
  </si>
  <si>
    <t>$258.00</t>
  </si>
  <si>
    <t>$16.00</t>
  </si>
  <si>
    <t>$78.00</t>
  </si>
  <si>
    <t>$94.00</t>
  </si>
  <si>
    <t>$124.00</t>
  </si>
  <si>
    <t>$186.00</t>
  </si>
  <si>
    <t>$286.00</t>
  </si>
  <si>
    <t>$246.00</t>
  </si>
  <si>
    <t>$49.00</t>
  </si>
  <si>
    <t>$136.00</t>
  </si>
  <si>
    <t>$173.00</t>
  </si>
  <si>
    <t>$72.00</t>
  </si>
  <si>
    <t>$90.00</t>
  </si>
  <si>
    <t>$84.00</t>
  </si>
  <si>
    <t>$23.00</t>
  </si>
  <si>
    <t>$180.00</t>
  </si>
  <si>
    <t>$262.00</t>
  </si>
  <si>
    <t>Headliner Bracket</t>
  </si>
  <si>
    <t>$57.00</t>
  </si>
  <si>
    <t>High Height Bracket</t>
  </si>
  <si>
    <t>Hole Plug Kit</t>
  </si>
  <si>
    <t>Housing</t>
  </si>
  <si>
    <t>$73.00</t>
  </si>
  <si>
    <t>$110.00</t>
  </si>
  <si>
    <t>Jumper Harness</t>
  </si>
  <si>
    <t>Lightbar Module</t>
  </si>
  <si>
    <t>$104.00</t>
  </si>
  <si>
    <t>Lightbar Power Distribution Board</t>
  </si>
  <si>
    <t>$131.00</t>
  </si>
  <si>
    <t>$156.00</t>
  </si>
  <si>
    <t>Low Frequency Amplifier</t>
  </si>
  <si>
    <t>$678.00</t>
  </si>
  <si>
    <t>Magnet Adder Kit</t>
  </si>
  <si>
    <t>Magnetic Foot</t>
  </si>
  <si>
    <t>Magnetic Mount Conversaion Kit</t>
  </si>
  <si>
    <t>Magnetic Mount Kit</t>
  </si>
  <si>
    <t>Mating Loop Plug</t>
  </si>
  <si>
    <t>Microphone</t>
  </si>
  <si>
    <t>Microphone &amp; Strain Relief</t>
  </si>
  <si>
    <t>Microphone Mounting Clip</t>
  </si>
  <si>
    <t>Module</t>
  </si>
  <si>
    <t>$166.00</t>
  </si>
  <si>
    <t>$87.00</t>
  </si>
  <si>
    <t>$140.00</t>
  </si>
  <si>
    <t>$177.00</t>
  </si>
  <si>
    <t>$227.00</t>
  </si>
  <si>
    <t>$81.00</t>
  </si>
  <si>
    <t>$144.00</t>
  </si>
  <si>
    <t>$96.00</t>
  </si>
  <si>
    <t>$251.00</t>
  </si>
  <si>
    <t>$192.00</t>
  </si>
  <si>
    <t>$209.00</t>
  </si>
  <si>
    <t>$135.00</t>
  </si>
  <si>
    <t>$161.00</t>
  </si>
  <si>
    <t>$176.00</t>
  </si>
  <si>
    <t>$268.00</t>
  </si>
  <si>
    <t>$297.00</t>
  </si>
  <si>
    <t>$290.00</t>
  </si>
  <si>
    <t>$292.00</t>
  </si>
  <si>
    <t>$322.00</t>
  </si>
  <si>
    <t>$303.00</t>
  </si>
  <si>
    <t>$333.00</t>
  </si>
  <si>
    <t>$283.00</t>
  </si>
  <si>
    <t>$351.00</t>
  </si>
  <si>
    <t>$380.00</t>
  </si>
  <si>
    <t>$336.00</t>
  </si>
  <si>
    <t>$271.00</t>
  </si>
  <si>
    <t>$316.00</t>
  </si>
  <si>
    <t>$384.00</t>
  </si>
  <si>
    <t>$350.00</t>
  </si>
  <si>
    <t>$200.00</t>
  </si>
  <si>
    <t>$263.00</t>
  </si>
  <si>
    <t>$398.00</t>
  </si>
  <si>
    <t>$434.00</t>
  </si>
  <si>
    <t>$182.00</t>
  </si>
  <si>
    <t>$174.00</t>
  </si>
  <si>
    <t>$201.00</t>
  </si>
  <si>
    <t>$249.00</t>
  </si>
  <si>
    <t>$123.00</t>
  </si>
  <si>
    <t>$153.00</t>
  </si>
  <si>
    <t>$45.00</t>
  </si>
  <si>
    <t>$56.00</t>
  </si>
  <si>
    <t>$129.00</t>
  </si>
  <si>
    <t>$159.00</t>
  </si>
  <si>
    <t>$127.00</t>
  </si>
  <si>
    <t>$100.00</t>
  </si>
  <si>
    <t>$105.00</t>
  </si>
  <si>
    <t>Motherboard</t>
  </si>
  <si>
    <t>Mounting Bracket</t>
  </si>
  <si>
    <t>mpower Fascia 3" 3-wire Module - Quick Mount</t>
  </si>
  <si>
    <t>$224.00</t>
  </si>
  <si>
    <t>$247.00</t>
  </si>
  <si>
    <t>mpower Fascia 3" 3-wire Module - Screw Mount</t>
  </si>
  <si>
    <t>mpower Fascia 4" 3-wire Module - Quick Mount</t>
  </si>
  <si>
    <t>$214.00</t>
  </si>
  <si>
    <t>$308.00</t>
  </si>
  <si>
    <t>mpower Fascia 4" 3-wire Module - Screw Mount</t>
  </si>
  <si>
    <t>mpower Fascia 4" 3-wire Module - Stud Mount</t>
  </si>
  <si>
    <t>mpower HD 4" 3-wire Module - Quick Mount</t>
  </si>
  <si>
    <t>mpower HD 4" 3-wire Module - Stud Mount</t>
  </si>
  <si>
    <t>nFORCE® Warning Module</t>
  </si>
  <si>
    <t>$187.00</t>
  </si>
  <si>
    <t>Opticom™ Infrared Emitter Module</t>
  </si>
  <si>
    <t>$3098.00</t>
  </si>
  <si>
    <t>$2980.00</t>
  </si>
  <si>
    <t>Passenger Side mpower® D-Pillar Bracket</t>
  </si>
  <si>
    <t>Peel &amp; Stick Legends</t>
  </si>
  <si>
    <t>Permanent Mount Bracket</t>
  </si>
  <si>
    <t>Permanent Mount Conversaion Kit</t>
  </si>
  <si>
    <t>Plug &amp; Play Kit</t>
  </si>
  <si>
    <t>Plug Kit</t>
  </si>
  <si>
    <t>Power Distribution Board</t>
  </si>
  <si>
    <t>$65.00</t>
  </si>
  <si>
    <t>Power Driver Board</t>
  </si>
  <si>
    <t>Power5 Cigar-Plug Adaptor</t>
  </si>
  <si>
    <t>$27.00</t>
  </si>
  <si>
    <t>Pre-AMP Kit</t>
  </si>
  <si>
    <t>Quick Clip Pad</t>
  </si>
  <si>
    <t>Quick Mount Adhesive</t>
  </si>
  <si>
    <t>Rear Drill Template Kit</t>
  </si>
  <si>
    <t>Reflector</t>
  </si>
  <si>
    <t>Replacement 8-Button Controller</t>
  </si>
  <si>
    <t>Retainer Clamp</t>
  </si>
  <si>
    <t>Retrofit Solar Panel Kit</t>
  </si>
  <si>
    <t>$693.00</t>
  </si>
  <si>
    <t>RJ45 Coupler</t>
  </si>
  <si>
    <t>RJ45 Splitter</t>
  </si>
  <si>
    <t>Rocker Switch</t>
  </si>
  <si>
    <t>Roof Grommet</t>
  </si>
  <si>
    <t>Roof Wire Grommet for External Break Out Box</t>
  </si>
  <si>
    <t>Rotary Knob</t>
  </si>
  <si>
    <t>Screw Mount Hardware</t>
  </si>
  <si>
    <t>Short Lens Divider</t>
  </si>
  <si>
    <t>Shroud - Rear Facing</t>
  </si>
  <si>
    <t>$298.00</t>
  </si>
  <si>
    <t>$346.00</t>
  </si>
  <si>
    <t>Shroud - Windshield</t>
  </si>
  <si>
    <t>$225.00</t>
  </si>
  <si>
    <t>Single Knee Panel</t>
  </si>
  <si>
    <t>Slide Switch</t>
  </si>
  <si>
    <t>Slide Switch Knob</t>
  </si>
  <si>
    <t>Spacer End Bracket</t>
  </si>
  <si>
    <t>Split Warning Jumper Harness/Board</t>
  </si>
  <si>
    <t>Strobe Module Kit</t>
  </si>
  <si>
    <t>$281.00</t>
  </si>
  <si>
    <t>Strobe Pattern Select</t>
  </si>
  <si>
    <t>Suction Cup Mounting Kit</t>
  </si>
  <si>
    <t>Tall Lens Divider</t>
  </si>
  <si>
    <t>Thick Pad</t>
  </si>
  <si>
    <t>Thin Pad</t>
  </si>
  <si>
    <t>Threaded Stud Hardware</t>
  </si>
  <si>
    <t>Top Cover</t>
  </si>
  <si>
    <t>$126.00</t>
  </si>
  <si>
    <t>$390.00</t>
  </si>
  <si>
    <t>$439.00</t>
  </si>
  <si>
    <t>$365.00</t>
  </si>
  <si>
    <t>$409.00</t>
  </si>
  <si>
    <t>$1134.00</t>
  </si>
  <si>
    <t>Trim Edge</t>
  </si>
  <si>
    <t>$37.00</t>
  </si>
  <si>
    <t>Trim Panel</t>
  </si>
  <si>
    <t>$86.00</t>
  </si>
  <si>
    <t>Wedge</t>
  </si>
  <si>
    <t>Window Shroud Clip Kit</t>
  </si>
  <si>
    <t>Windshield Shroud Slide Plate</t>
  </si>
  <si>
    <t>Wire Management</t>
  </si>
  <si>
    <t>ACCESSORY</t>
  </si>
  <si>
    <t>$170.00</t>
  </si>
  <si>
    <t>6" Oval Mounting Kit</t>
  </si>
  <si>
    <t>$63.00</t>
  </si>
  <si>
    <t>6x4 15° Angled Wedge</t>
  </si>
  <si>
    <t>7x3 15° Angled Wedge</t>
  </si>
  <si>
    <t>Bezel</t>
  </si>
  <si>
    <t>$141.00</t>
  </si>
  <si>
    <t>$196.00</t>
  </si>
  <si>
    <t>$217.00</t>
  </si>
  <si>
    <t>$66.00</t>
  </si>
  <si>
    <t>Bezel - Surface</t>
  </si>
  <si>
    <t>Black Speaker Cover</t>
  </si>
  <si>
    <t>Bracket</t>
  </si>
  <si>
    <t>$172.00</t>
  </si>
  <si>
    <t>$93.00</t>
  </si>
  <si>
    <t>$168.00</t>
  </si>
  <si>
    <t>$150.00</t>
  </si>
  <si>
    <t>$114.00</t>
  </si>
  <si>
    <t>$164.00</t>
  </si>
  <si>
    <t>$137.00</t>
  </si>
  <si>
    <t>$132.00</t>
  </si>
  <si>
    <t>$48.00</t>
  </si>
  <si>
    <t>Bracket - Conversion</t>
  </si>
  <si>
    <t>Bracket - Motorcycle</t>
  </si>
  <si>
    <t>Bracket - Mounting</t>
  </si>
  <si>
    <t>$435.00</t>
  </si>
  <si>
    <t>Curved Surface Adaptors</t>
  </si>
  <si>
    <t>D-Pillar Kit</t>
  </si>
  <si>
    <t>$326.00</t>
  </si>
  <si>
    <t>D-Pillar Wedge Kit</t>
  </si>
  <si>
    <t>Flush Mount Grommet</t>
  </si>
  <si>
    <t>Foot</t>
  </si>
  <si>
    <t>Hook Kit - Fixed Height Roof Rack Mount</t>
  </si>
  <si>
    <t>Hook Kit - Low Profile Fixed Mount</t>
  </si>
  <si>
    <t>Hook Kit - Sliding Fixed Mount</t>
  </si>
  <si>
    <t>$152.00</t>
  </si>
  <si>
    <t>Hook Kit - Standard Fixed Mount</t>
  </si>
  <si>
    <t>Legacy Mount Adapter Kit</t>
  </si>
  <si>
    <t>Lens</t>
  </si>
  <si>
    <t>Mounting Kit</t>
  </si>
  <si>
    <t>ORV Light Harness</t>
  </si>
  <si>
    <t>$174.99</t>
  </si>
  <si>
    <t>ORV Lightbar Harness</t>
  </si>
  <si>
    <t>$171.99</t>
  </si>
  <si>
    <t>Permanent Mount Kit</t>
  </si>
  <si>
    <t>Quick Mount Wedges - 15°</t>
  </si>
  <si>
    <t>Quick Mount Wedges - 35°</t>
  </si>
  <si>
    <t>Quick Mount Wedges - 5°</t>
  </si>
  <si>
    <t>Rear Facing Mounting Bracket</t>
  </si>
  <si>
    <t>Rubber Grommet</t>
  </si>
  <si>
    <t>Shroud</t>
  </si>
  <si>
    <t>Standard Fixed Height Foot</t>
  </si>
  <si>
    <t>Under Mirror Mount Kit</t>
  </si>
  <si>
    <t>Vehicle Gasket</t>
  </si>
  <si>
    <t>VHB Magnetic Plate Adapter Kit</t>
  </si>
  <si>
    <t>bluePRINT 500 Series Console 100W Button Control System</t>
  </si>
  <si>
    <t>$1495.00</t>
  </si>
  <si>
    <t>bluePRINT 500 Series Console 100W Knob Control System</t>
  </si>
  <si>
    <t>bluePRINT 500 Series Console 200W Button Control System</t>
  </si>
  <si>
    <t>$1644.00</t>
  </si>
  <si>
    <t>bluePRINT 500 Series Console 200W Knob Control System</t>
  </si>
  <si>
    <t>bluePRINT 500 Series Handheld Control System - 2 speaker</t>
  </si>
  <si>
    <t>bluePRINT 500 Series Remote 100W Button Control System</t>
  </si>
  <si>
    <t>$1784.00</t>
  </si>
  <si>
    <t>bluePRINT 500 Series Remote Control System - Knob, 1 speaker</t>
  </si>
  <si>
    <t>bluePRINT Central Controller</t>
  </si>
  <si>
    <t>$824.00</t>
  </si>
  <si>
    <t>bluePRINT Connect® powered by ACETECH™</t>
  </si>
  <si>
    <t>$1450.00</t>
  </si>
  <si>
    <t>bluePRINT Link Data Harness</t>
  </si>
  <si>
    <t>bluePRINT Link Micro Module</t>
  </si>
  <si>
    <t>bluePRINT Link Micro Vehicle Harness</t>
  </si>
  <si>
    <t>$101.00</t>
  </si>
  <si>
    <t>bluePRINT Link Vehicle  Harness</t>
  </si>
  <si>
    <t>bluePRINT Sync GPS Antenna</t>
  </si>
  <si>
    <t>bluePRINT Sync Module</t>
  </si>
  <si>
    <t>$432.00</t>
  </si>
  <si>
    <t>Input Node</t>
  </si>
  <si>
    <t>nERGY 400 Series Console Siren - Button, 1 speaker, bluePRINT compatible</t>
  </si>
  <si>
    <t>$876.00</t>
  </si>
  <si>
    <t>nERGY 400 Series Console Siren - Button, 2 speaker, bluePRINT compatible</t>
  </si>
  <si>
    <t>$1028.00</t>
  </si>
  <si>
    <t>nERGY 400 Series Console Siren - Knob, 1 speaker, bluePRINT compatible</t>
  </si>
  <si>
    <t>nERGY 400 Series Remote Siren - Knob, 1 speaker, bluePRINT compatible</t>
  </si>
  <si>
    <t>$691.00</t>
  </si>
  <si>
    <t>nERGY 400 Series Remote Siren - Knob, 2 speaker, bluePRINT compatible</t>
  </si>
  <si>
    <t>$871.00</t>
  </si>
  <si>
    <t>$376.00</t>
  </si>
  <si>
    <t>$1043.00</t>
  </si>
  <si>
    <t>$1109.00</t>
  </si>
  <si>
    <t>Glass Mount GPS Antennae</t>
  </si>
  <si>
    <t>$102.00</t>
  </si>
  <si>
    <t>$188.00</t>
  </si>
  <si>
    <t>$300.00</t>
  </si>
  <si>
    <t>$179.00</t>
  </si>
  <si>
    <t>Replacement Console Face</t>
  </si>
  <si>
    <t>$331.00</t>
  </si>
  <si>
    <t>$369.00</t>
  </si>
  <si>
    <t>Screw Driver</t>
  </si>
  <si>
    <t>Siren Remote Microphone Conversion Kit</t>
  </si>
  <si>
    <t>10 Ft Harness Extension</t>
  </si>
  <si>
    <t>bluePRINT 3 Link USB Programming Cable</t>
  </si>
  <si>
    <t>CAN Single Harness</t>
  </si>
  <si>
    <t>Control Module</t>
  </si>
  <si>
    <t>$1200.00</t>
  </si>
  <si>
    <t>$724.00</t>
  </si>
  <si>
    <t>Key Fob</t>
  </si>
  <si>
    <t>Key Fob Reader and Harness</t>
  </si>
  <si>
    <t>Safety Buzzer</t>
  </si>
  <si>
    <t>Stationary Windows</t>
  </si>
  <si>
    <t>FLAT PANEL PARTITIONS
*INCLUDES Full Lower Extension Panels</t>
  </si>
  <si>
    <t>PK0116ITU20TM</t>
  </si>
  <si>
    <t>#6VS Stationary Window
Coated Polycarbonate
Flat Panel Partition TM (Tall Man)</t>
  </si>
  <si>
    <t>PK0115ITU20TM</t>
  </si>
  <si>
    <t>#6VS Stationary Window
Uncoated Polycarbonate
Flat Panel Partition TM (Tall Man)</t>
  </si>
  <si>
    <t>PK0326ITU20TM</t>
  </si>
  <si>
    <t>#6/7VS 3-Piece Stationary Window
Coated Polycarbonate With Vinyl Coated Expanded Metal Center Section
Flat Panel Partition TM (Tall Man)</t>
  </si>
  <si>
    <t>PK0117ITU20TM</t>
  </si>
  <si>
    <t>#7VS Stationary Window
Vinyl Coated Expanded Metal
Flat Panel Partition TM (Tall Man)</t>
  </si>
  <si>
    <t>PK0119ITU20TM</t>
  </si>
  <si>
    <t>#8VS Stationary Window
1/2 Coated Polycarbonate 1/2 Vinyl Coated Expanded Metal
Flat Panel Partition TM (Tall Man)</t>
  </si>
  <si>
    <t>PK0118ITU20TM</t>
  </si>
  <si>
    <t>#8VS Stationary Window
1/2 Uncoated Polycarbonate 1/2 Vinyl Coated Expanded Metal
Flat Panel Partition TM (Tall Man)</t>
  </si>
  <si>
    <t>Horizontal Sliding Window</t>
  </si>
  <si>
    <t>PK0121ITU20TM</t>
  </si>
  <si>
    <t>#10VS Horizontal Sliding Window
Coated Polycarbonate
Flat Panel Partition TM (Tall Man)</t>
  </si>
  <si>
    <t>PK0120ITU20TM</t>
  </si>
  <si>
    <t>#10VS Horizontal Sliding Window
Uncoated Polycarbonate
Flat Panel Partition TM (Tall Man)</t>
  </si>
  <si>
    <t>PK0350ITU20TM</t>
  </si>
  <si>
    <t>#10VS C Horizontal Sliding Window
Coated Polycarbonate
With Expanded Metal Window Security Screen
Flat Panel Partition TM (Tall Man)</t>
  </si>
  <si>
    <t>PK0601ITU20TM</t>
  </si>
  <si>
    <t>#10VS C Horizontal Sliding Window
Uncoated Polycarbonate
With Expanded Metal Window Security Screen
Flat Panel Partition TM (Tall Man)</t>
  </si>
  <si>
    <t>PK0226ITU20TM</t>
  </si>
  <si>
    <t>#10VS C2 Horizontal Sliding Window
Coated Polycarbonate
With Slotted Polycarbonate Window Security Screen
Flat Panel Partition TM (Tall Man)</t>
  </si>
  <si>
    <t>PK0225ITU20TM</t>
  </si>
  <si>
    <t>#10VS C2 Horizontal Sliding Window
Uncoated Polycarbonate
With Slotted Polycarbonate Window Security Screen
Flat Panel Partition TM (Tall Man)</t>
  </si>
  <si>
    <t>RECESSED PANEL PARTITIONS
*INCLUDES 2 Piece Lower Extension Panel</t>
  </si>
  <si>
    <t>PK0374ITU20TM</t>
  </si>
  <si>
    <t>#6VS RP Stationary Window
Coated Polycarbonate
Recessed Panel Partition TM (Tall Man)</t>
  </si>
  <si>
    <t>PK0373ITU20TM</t>
  </si>
  <si>
    <t>#6VS RP Stationary Window
Uncoated Polycarbonate
Recessed Panel Partition TM (Tall Man)</t>
  </si>
  <si>
    <t>PK0517ITU20TM</t>
  </si>
  <si>
    <t>#6/7VS 3-Piece Window Stationary Window
Coated Polycarbonate With Vinyl Coated Expanded Metal Center Section
Recessed Panel Partition TM (Tall Man)</t>
  </si>
  <si>
    <t>PK0420ITU20TM</t>
  </si>
  <si>
    <t>#7VS RP Stationary Window
Vinyl Coated Expanded Metal
Recessed Panel Partition TM (Tall Man)</t>
  </si>
  <si>
    <t>PK0369ITU20TM</t>
  </si>
  <si>
    <t>#8VS RP Stationary Window
1/2 Coated Polycarbonate 1/2 Vinyl Coated Expanded Metal
Recessed Panel Partition TM (Tall Man)</t>
  </si>
  <si>
    <t>PK0398ITU20TM</t>
  </si>
  <si>
    <t>#8VS RP Stationary Window
1/2 Uncoated Polycarbonate 1/2 Vinyl Coated Expanded Metal
Recessed Panel Partition TM (Tall Man)</t>
  </si>
  <si>
    <t>Horizontal Sliding Windows</t>
  </si>
  <si>
    <t>PK0355ITU20TM</t>
  </si>
  <si>
    <t>#10VS RP Horizontal Sliding Window
Coated Polycarbonate
Recessed Panel Partition TM (Tall Man)</t>
  </si>
  <si>
    <t>PK0439ITU20TM</t>
  </si>
  <si>
    <t>#10VS RP Horizontal Sliding Window
Uncoated Polycarbonate
Recessed Panel Partition TM (Tall Man)</t>
  </si>
  <si>
    <t>PK0419ITU20TM</t>
  </si>
  <si>
    <t>#10VS RP C Horizontal Sliding Window
Coated Polycarbonate
With Expanded Metal Window Security Screen
Recessed Panel Partition TM (Tall Man)</t>
  </si>
  <si>
    <t>PK0602ITU20TM</t>
  </si>
  <si>
    <t>#10VS RP C Horizontal Sliding Window
Uncoated Polycarbonate
WitH Expanded Metal Window Security Screen
Recessed Panel Partition TM (Tall Man)</t>
  </si>
  <si>
    <t>PK0228ITU20TM</t>
  </si>
  <si>
    <t>#10VS RP C2 Horizontal Sliding Window
Coated Polycarbonate
With Slotted Poly Window Security Screen
Recessed Panel Partition TM (Tall Man)</t>
  </si>
  <si>
    <t>PK0227ITU20TM</t>
  </si>
  <si>
    <t>#10VS RP C2 Horizontal Sliding Window
Uncoated Polycarbonate
With Slotted Poly Window Security Screen
Recessed Panel Partition TM (Tall Man)</t>
  </si>
  <si>
    <t>XL (EXTRA LEGROOM) PARTITIONS
*INCLUDES XL Recessed Panel &amp; Lower Extension Panel</t>
  </si>
  <si>
    <t>PK1138ITU20TM</t>
  </si>
  <si>
    <t>#6XL Stationary Window
Coated Polycarbonate
XL Panel Partition TM (Tall Man)</t>
  </si>
  <si>
    <t>PK1137ITU20TM</t>
  </si>
  <si>
    <t>#6XL Stationary Window
Uncoated Polycarbonate
XL Panel Partition TM (Tall Man)</t>
  </si>
  <si>
    <t>PK1144ITU20TM</t>
  </si>
  <si>
    <t>#6/7XL 3-Piece Stationary Window
Coated Polycarbonate With Vinyl Coated Expanded Metal Center Section
XL Panel Partition TM (Tall Man)</t>
  </si>
  <si>
    <t>PK1140ITU20TM</t>
  </si>
  <si>
    <t>#7XL Stationary Window
Vinyl Coated Expanded Metal
XL Panel Partition TM (Tall Man)</t>
  </si>
  <si>
    <t>PK1134ITU20TM</t>
  </si>
  <si>
    <t>#8XL Stationary Window
1/2 Coated Polycarbonate 1/2 Vinyl Coated Expanded Metal
XL Panel Partition TM (Tall Man)</t>
  </si>
  <si>
    <t>PK1133ITU20TM</t>
  </si>
  <si>
    <t>#8XL Stationary Window
1/2 Uncoated Polycarbonate 1/2 Vinyl Coated Expanded Metal
XL Panel Partition TM (Tall Man)</t>
  </si>
  <si>
    <t>#10XL Horizontal Sliding Window
Coated Polycarbonate
XL Panel Partition TM (Tall Man)</t>
  </si>
  <si>
    <t>PK1129ITU20TM</t>
  </si>
  <si>
    <t>#10XL Horizontal Sliding Window
Uncoated Polycarbonate
XL Panel Partition TM (Tall Man)</t>
  </si>
  <si>
    <t>PK1126ITU20TM</t>
  </si>
  <si>
    <t>#10XL C Horizontal Sliding Window
Coated Polycarbonate
With Expanded Metal Window Security Screen
XL Panel Partition TM (Tall Man)</t>
  </si>
  <si>
    <t>PK1125ITU20TM</t>
  </si>
  <si>
    <t>#10XL C Horizontal Sliding Window
Uncoated Polycarbonate
With Expanded Metal Window Security Screen
XL Panel Partition TM (Tall Man)</t>
  </si>
  <si>
    <t>PK1186ITU20TM</t>
  </si>
  <si>
    <t>#10XL C2 Horizontal Sliding Window
Coated Polycarbonate
With Slotted Polycarbonate Window Security Screen
XL Panel Partition TM (Tall Man)</t>
  </si>
  <si>
    <t>PK1185ITU20TM</t>
  </si>
  <si>
    <t>#10XL C2 Horizontal Sliding Window
Uncoated Polycarbonate
With Slotted Polycarbonate Window Security Screen
XL Panel Partition TM (Tall Man)</t>
  </si>
  <si>
    <t>**PARTITION TRANSFER KITS ARE AVAILABLE. PLEASE CONTACT YOUR REGIONS REPRESENTATIVE FOR PART NUMBER AND PRICE**</t>
  </si>
  <si>
    <t>SPT</t>
  </si>
  <si>
    <t>SINGLE PRISONER TRANSPORT PARTITIONS
*INCLUDES Lower Extension Panels
*REQUIRED #12VS Cargo Area Rear Partition NOT INCLUDED</t>
  </si>
  <si>
    <t>1K0574ITU20ND</t>
  </si>
  <si>
    <t>SPT Single Prisoner Transport Partition Partition
#6VS SPT Stationary Window
Coated Polycarbonate 
*FOR USE WITH:
   -Partial Stock Seat</t>
  </si>
  <si>
    <t>1K0574ITU20WD</t>
  </si>
  <si>
    <t>SPT Single Prisoner Transport Partition Partition
#6VS SPT Stationary Window
Coated Polycarbonate 
*FOR USE WITH:
   -Stock Seat</t>
  </si>
  <si>
    <t>1K0574ITU20FC</t>
  </si>
  <si>
    <t>SPT Single Prisoner Transport Partition
#6VS SPT Stationary Window
Coated Polycarbonate
*FOR USE WITH:
   -Full COVER Transport Partition Seat</t>
  </si>
  <si>
    <t>1K0574ITU20FR</t>
  </si>
  <si>
    <t>SPT Single Prisoner Transport Partition
#6VS SPT  Stationary Window
Coated Polycarbonate
*FOR USE WITH:
   -Full REPLACEMENT Transport Partition Seat</t>
  </si>
  <si>
    <t>1K0576ITU20ND</t>
  </si>
  <si>
    <t>SPT Single Prisoner Transport Partition
#7VS SPT Stationary Window
Vinyl Coated Expanded Metal
*FOR USE WITH:
   -Partial Stock Seat</t>
  </si>
  <si>
    <t>1K0576ITU20WD</t>
  </si>
  <si>
    <t>SPT Single Prisoner Transport Partition
#7VS SPT Stationary Window
Vinyl Coated Expanded Metal
*FOR USE WITH:
   -Stock Seat</t>
  </si>
  <si>
    <t>1K0576ITU20FC</t>
  </si>
  <si>
    <t>Single Prisoner Transport Partition
#7VS SPT Stationary Window
Vinyl Coated Expanded Metal
*FOR USE WITH:
   -Full COVER Transport Partition Seat</t>
  </si>
  <si>
    <t>SPT Single Prisoner Transport Partition
#7VS  SPT Stationary Window
Vinyl Coated Expanded Metal
*FOR USE WITH:
   -Full REPLACEMENT Transport Partition Seat</t>
  </si>
  <si>
    <t>DPT</t>
  </si>
  <si>
    <t>DUAL PRISONER TRANSPORT PARTITIONS
*REQUIRED Front Partition &amp; #12VS Cargo Area Rear Partition NOT INCLUDED</t>
  </si>
  <si>
    <t>2K0035ITU20RPWDTM</t>
  </si>
  <si>
    <t>DPT Dual Prisoner Transport Partition
*FOR USE WITH:
   -RECESSED OR XL PANEL Partition
   -Full STOCK Seat</t>
  </si>
  <si>
    <t>2K0035ITU20RPSDTM</t>
  </si>
  <si>
    <t>DPT Dual Prisoner Transport Partition
*FOR USE WITH:
   -RECESSED OR XL PANEL Partition
   -MIDDLE SEAT DELETE</t>
  </si>
  <si>
    <t>2K0035ITU20RPFRTM</t>
  </si>
  <si>
    <t>DPT Dual Prisoner Transport Partition
*FOR USE WITH:
   -RECESSED OR XL PANEL Partition
   -Full REPLACEMENT Transport Partition Seat</t>
  </si>
  <si>
    <t>2K0035ITU20RPFCTM</t>
  </si>
  <si>
    <t>DPT Dual Prisoner Transport Partition
*FOR USE WITH:
   -RECESSED OR XL PANEL Partition
   -Full COVER Transport Partition Seat</t>
  </si>
  <si>
    <t>***FOR USE WITH MODEL YEARS 2020-2024***</t>
  </si>
  <si>
    <t>CARGO AREA REAR PARTITIONS
*FOR USE BEHIND 2nd Row Seat ONLY</t>
  </si>
  <si>
    <t>PK0123ITU202ND</t>
  </si>
  <si>
    <t>Cargo Area Rear Partition
#12VS Stationary Window
Vinyl Coated Expanded Metal
*FOR USE WITH:
   -2nd Row Seat</t>
  </si>
  <si>
    <t>PK0316ITU202ND</t>
  </si>
  <si>
    <t>Cargo Area Rear Partition
#12VS Stationary Window
Coated Polycarbonate
*FOR USE WITH:
   -2nd Row Seat</t>
  </si>
  <si>
    <t>***FOR USE WITH MODEL YEAR 2025***</t>
  </si>
  <si>
    <t>PK0316ITU252ND</t>
  </si>
  <si>
    <t>***FOR USE WITH MODEL YEARS 2020-2025***</t>
  </si>
  <si>
    <t>CARGO AREA REAR PARTITIONS W/ RADIO PANEL
*FOR USE BEHIND 2nd Row Seat ONLY</t>
  </si>
  <si>
    <t>PK1437ITU202ND</t>
  </si>
  <si>
    <t>Cargo Area Rear Partition w/ Radio Panel
#12VS Stationary Window
Vinyl Coated Expanded Metal
*FOR USE WITH:
 -2nd Row Seat
-Stock Seat</t>
  </si>
  <si>
    <t>PK1289ITU202ND</t>
  </si>
  <si>
    <t>Cargo Area Rear Partition w/ Radio Panel
#12VS Stationary Window
Coated Polycarbonate
*FOR USE WITH:
-2nd Row Seat
-Stock Seat</t>
  </si>
  <si>
    <t>PARTITION ACCESSORY</t>
  </si>
  <si>
    <t>AK0968ITU202ND</t>
  </si>
  <si>
    <t>RADIO BOX WITH COMPRESSION LATCH
*NOT COMPATIBLE WITH:
   -EZ-Lift Cargo Deck
*REQUIRED:
   -#12VS Cargo Area Partition NOT INCLUDED</t>
  </si>
  <si>
    <t>AK1391ITU202ND</t>
  </si>
  <si>
    <t>RADIO BOX WITH SLIDING DOOR &amp; COMPRESSION LATCH
*NOT COMPATIBLE WITH:
   -EZ-Lift Cargo Deck
*REQUIRED:
   -#12VS Cargo Area Partition NOT INCLUDED</t>
  </si>
  <si>
    <t>PB400 PUSH BUMPERS</t>
  </si>
  <si>
    <t>BK0534ITU20</t>
  </si>
  <si>
    <t>PB400 VS Bumper
Full Bumper
Aluminum</t>
  </si>
  <si>
    <t>BK0535ITU20</t>
  </si>
  <si>
    <t>PB400 VS Bumper
Full Bumper
Steel</t>
  </si>
  <si>
    <t>*AVAILABLE With Mar Resistant Horizontal Crossbar Pad Add $60 to Price (Call For Part ID)</t>
  </si>
  <si>
    <t>PB450L LIGHTED PUSH BUMPERS
2 Forward Facing Lights
*ONLY Full Size Bumper Available</t>
  </si>
  <si>
    <t>BK2017ITU20</t>
  </si>
  <si>
    <t>PB450L2
With WHELEN ION TRI-COLOR</t>
  </si>
  <si>
    <t>BK2166ITU20</t>
  </si>
  <si>
    <t>PB450L2
With SOUNDOFF SIGNAL MPOWER TRI-COLOR 18-LED</t>
  </si>
  <si>
    <t>BK2124ITU20</t>
  </si>
  <si>
    <t>PB450L2
With FEDERAL SIGNAL MICROPULSE TRI-COLOR 18-LED</t>
  </si>
  <si>
    <t>PB450L LIGHTED PUSH BUMPERS
4 Lights Total: 2 Forward Facing, 1 Each Side
*ONLY Full Size Bumper Available</t>
  </si>
  <si>
    <t>BK2019ITU20</t>
  </si>
  <si>
    <t>PB450L4
With WHELEN ION TRI-COLOR</t>
  </si>
  <si>
    <t>BK2168ITU20</t>
  </si>
  <si>
    <t>PB450L4
With SOUNDOFF SIGNAL MPOWER TRI-COLOR 18-LED</t>
  </si>
  <si>
    <t>BK0802ITU20</t>
  </si>
  <si>
    <t>PB450L4
With FEDERAL SIGNAL MICROPULSE TRI-COLOR 18-LED</t>
  </si>
  <si>
    <t>PB450L LIGHTED PUSH BUMPERS
6 Lights Total: 4 Forward Facing, 1 Each Side
*ONLY Full Size Bumper Available</t>
  </si>
  <si>
    <t>BK1001ITU20</t>
  </si>
  <si>
    <t>PB450L6
With WHELEN ION TRI-COLOR</t>
  </si>
  <si>
    <t>BK2338ITU20</t>
  </si>
  <si>
    <t>PB450L6
With SOUNDOFF SIGNAL MPOWER TRI-COLOR 18-LED</t>
  </si>
  <si>
    <t>BK0282ITU20</t>
  </si>
  <si>
    <t>PB450L6
With FEDERAL SIGNAL MICROPULSE TRI-COLOR 18-LED</t>
  </si>
  <si>
    <t>**NEW LIGHT-READY PUSH BUMPERS**</t>
  </si>
  <si>
    <t>BK1583ITU20</t>
  </si>
  <si>
    <t>PB450LR2 LIGHT-READY
With CODE3 MR6</t>
  </si>
  <si>
    <t>BK1603ITU20</t>
  </si>
  <si>
    <t>PB450LR2 LIGHT-READY
With D&amp;R GENESIS</t>
  </si>
  <si>
    <t>BK1557ITU20</t>
  </si>
  <si>
    <t>PB450LR2 LIGHT-READY
With FEDERAL SIGNAL MICROPULSE</t>
  </si>
  <si>
    <t>BK1687ITU20</t>
  </si>
  <si>
    <t>PB450LR2 LIGHT-READY
With FENIEX FUSION/ QUAD</t>
  </si>
  <si>
    <t>BK1525ITU20</t>
  </si>
  <si>
    <t>PB450LR2 LIGHT-READY
With SOUNDOFF SIGNAL MPOWER</t>
  </si>
  <si>
    <t>BK1509ITU20</t>
  </si>
  <si>
    <t>PB450LR2 LIGHT-READY
With SOUNDOFF SIGNAL NFORCE</t>
  </si>
  <si>
    <t>BK1541ITU20</t>
  </si>
  <si>
    <t>PB450LR2 LIGHT-READY
With WHELEN ION</t>
  </si>
  <si>
    <t>BK1584ITU20</t>
  </si>
  <si>
    <t>PB450LR4 LIGHT-READY
With CODE3 MR6</t>
  </si>
  <si>
    <t>BK1604ITU20</t>
  </si>
  <si>
    <t>PB450LR4 LIGHT-READY
With D&amp;R GENESIS</t>
  </si>
  <si>
    <t>BK1558ITU20</t>
  </si>
  <si>
    <t>PB450LR4 LIGHT-READY
With FEDERAL SIGNAL MICROPULSE</t>
  </si>
  <si>
    <t>BK1366ITU20</t>
  </si>
  <si>
    <t>PB450LR4 LIGHT-READY
With FENIEX FUSION/ QUAD</t>
  </si>
  <si>
    <t>BK1526ITU20</t>
  </si>
  <si>
    <t>PB450LR4 LIGHT-READY
With SOUNDOFF SIGNAL MPOWER</t>
  </si>
  <si>
    <t>BK1510ITU20</t>
  </si>
  <si>
    <t>PB450LR4 LIGHT-READY
With SOUNDOFF SIGNAL NFORCE</t>
  </si>
  <si>
    <t>BK1542ITU20</t>
  </si>
  <si>
    <t>PB450LR4 LIGHT-READY
With WHELEN ION</t>
  </si>
  <si>
    <t>BK1585ITU20</t>
  </si>
  <si>
    <t>PB450LR6 LIGHT-READY
With CODE3 MR6</t>
  </si>
  <si>
    <t>TBD</t>
  </si>
  <si>
    <t>PB450LR6 LIGHT-READY
With D&amp;R GENESIS</t>
  </si>
  <si>
    <t>BK1559ITU20</t>
  </si>
  <si>
    <t>PB450LR6 LIGHT-READY
With FEDERAL SIGNAL MICROPULSE</t>
  </si>
  <si>
    <t>PB450LR6 LIGHT-READY
With FENIEX FUSION/ QUAD</t>
  </si>
  <si>
    <t>BK1527ITU20</t>
  </si>
  <si>
    <t>PB450LR6 LIGHT-READY
With SOUNDOFF SIGNAL MPOWER</t>
  </si>
  <si>
    <t>BK1511ITU20</t>
  </si>
  <si>
    <t>PB450LR6 LIGHT-READY
With SOUNDOFF SIGNAL NFORCE</t>
  </si>
  <si>
    <t>BK1543ITU20</t>
  </si>
  <si>
    <t>PB450LR6 LIGHT-READY
With WHELEN ION</t>
  </si>
  <si>
    <t>**PUSH BUMPER TRANSFER KITS ARE AVAILABLE. PLEASE CONTACT YOUR REGIONS REPRESENTATIVE FOR PART NUMBER AND PRICE**</t>
  </si>
  <si>
    <t>BIKE RACK</t>
  </si>
  <si>
    <t>OK1304ITU</t>
  </si>
  <si>
    <t>Police Bike Rack</t>
  </si>
  <si>
    <t>***2020-2024 FENDER WRAPS***</t>
  </si>
  <si>
    <t>FENDER WRAPS</t>
  </si>
  <si>
    <t>FK0400ITU20</t>
  </si>
  <si>
    <t>PB5 Fender Wraps
Aluminum
PB400/450</t>
  </si>
  <si>
    <t>FK0402ITU20</t>
  </si>
  <si>
    <t>PB9A Fender Wraps
Aluminum
PB400/450</t>
  </si>
  <si>
    <t>FK2271ITU20</t>
  </si>
  <si>
    <t>PB9S Fender Wraps
Steel
PB400/450</t>
  </si>
  <si>
    <t>***2020-2024 HEADLIGHT GUARDS**</t>
  </si>
  <si>
    <t>HEADLIGHT GUARDS</t>
  </si>
  <si>
    <t>HK0810ITU20</t>
  </si>
  <si>
    <t>PB6 Headlight Guard
Steel
With PB5 Wrap
Aluminum</t>
  </si>
  <si>
    <t>HK0809ITU20</t>
  </si>
  <si>
    <t>PB8 Headlight Guard
Steel
Double Loop</t>
  </si>
  <si>
    <t>HK2273ITU20</t>
  </si>
  <si>
    <t>PB10 Headlight Guard
Steel
With PB9A Wrap
Aluminum</t>
  </si>
  <si>
    <t>HK2272ITU20</t>
  </si>
  <si>
    <t>PB10 Headlight Guard
Steel
With PB9S Wrap
Steel</t>
  </si>
  <si>
    <t>***2025 FENDER WRAPS***</t>
  </si>
  <si>
    <t>FK0400ITU25</t>
  </si>
  <si>
    <t>FK0402ITU25</t>
  </si>
  <si>
    <t>FK2271ITU25</t>
  </si>
  <si>
    <t>***2025 HEADLIGHT GUARDS**</t>
  </si>
  <si>
    <t>HK2322ITU25</t>
  </si>
  <si>
    <t>HK0809ITU25</t>
  </si>
  <si>
    <t>HK2273ITU25</t>
  </si>
  <si>
    <t>HK2272ITU25</t>
  </si>
  <si>
    <t>*** FOR USE WITH 2020-2025 MODEL YEARS***</t>
  </si>
  <si>
    <t>WINDOW BARRIERS</t>
  </si>
  <si>
    <t>WK0595ITU20</t>
  </si>
  <si>
    <t>Window Barrier VS
Polycarbonate</t>
  </si>
  <si>
    <t>WK1491ITU20T</t>
  </si>
  <si>
    <t>Window Barrier VS
Polycarbonate Tinted</t>
  </si>
  <si>
    <t>Window Barrier VS
Steel Vertical</t>
  </si>
  <si>
    <t>WK0514ITU20H</t>
  </si>
  <si>
    <t>Window Barrier VS
Steel Horizontal</t>
  </si>
  <si>
    <t>CARGO AREA WINDOW BARRIERS</t>
  </si>
  <si>
    <t>WK0041ITU20</t>
  </si>
  <si>
    <t>Window Barrier VS Rear Hatch
Steel Horizontal
Rear Cargo Compartment
WORKS WITH OR WITHOUT INNER EDGE LIGHT BAR</t>
  </si>
  <si>
    <t>WK0046ITU20</t>
  </si>
  <si>
    <t>Window Barrier VS 2-Piece Set
Side Windows
Steel Horizontal
Rear Cargo Compartment
*REQUIRED FOR INSTALL: #12VS Cargo Area Partition</t>
  </si>
  <si>
    <t>WK0137ITU20</t>
  </si>
  <si>
    <t>Window Barrier VS 2-Piece Set
Side Windows
Steel Horizontal
Rear Cargo Compartment
*NOT COMPATIBLE WITH: #12VS Cargo Area Partition</t>
  </si>
  <si>
    <t>WK0040ITU20</t>
  </si>
  <si>
    <t>Window Barrier VS 3-Piece Set
Side Windows &amp; Rear Hatch
Steel Horizontal
Rear Cargo Compartment
*REQUIRED FOR INSTALL: #12VS Cargo Area Partition
WORKS WITH OR WITHOUT INNER EDGE LIGHT BAR</t>
  </si>
  <si>
    <t>WK1343ITU20</t>
  </si>
  <si>
    <t>Window Barrier VS 3-Piece Set
Side Windows &amp; Rear Hatch
Steel Horizontal
Rear Cargo Compartment
*NOT COMPATIBLE WITH: #12VS Cargo Area Partition</t>
  </si>
  <si>
    <t>DOOR PANELS</t>
  </si>
  <si>
    <t>Door Panel VS
TPO Plastic Black
Installs Over OEM Door Panels</t>
  </si>
  <si>
    <t xml:space="preserve">Door Panel VS
Aluminum
Replaces OEM Door Panels </t>
  </si>
  <si>
    <t>K9 ULTIMATE 2</t>
  </si>
  <si>
    <t>*RECOMMENDED Cargo Box NOT INCLUDED</t>
  </si>
  <si>
    <t>K9 SOLUTIONS</t>
  </si>
  <si>
    <t>*See "K9 ELECTRONICES" Page</t>
  </si>
  <si>
    <t>CK2386ITU20</t>
  </si>
  <si>
    <t>Ultimate K9 2
K9 Exit points 2: Drivers side &amp; Between Front Seats
Prisoner Passenger Side Exit
*RECOMMENDED:
   -Cargo Box NOT INCLUDED</t>
  </si>
  <si>
    <t>CK2386ITU20-10</t>
  </si>
  <si>
    <t>Ultimate K9 2
K9 Exit points 2: Drivers side &amp; Between Front Seats
Prisoner Passenger Side Exit
*RECOMMENDED:
   -Cargo Box NOT INCLUDED
*FOR USE WITH:
   -10" Fan NOT INCLUDED</t>
  </si>
  <si>
    <t>***NEW K9 ULTIMATE MAX SYSTEM**</t>
  </si>
  <si>
    <t>CK2114ITU20</t>
  </si>
  <si>
    <t>K9 Ultimate Max
K9 Exit points 2: Drivers side &amp; Between Front Seats
Passenger Side Storage 
*RECOMMENDED:
  - Cargo Box NOT INCLUDED</t>
  </si>
  <si>
    <t>CK2114ITU20-10</t>
  </si>
  <si>
    <t>K9 Ultimate Max
K9 Exit points 2: Drivers side &amp; Between Front Seats
Passenger Side Storage 
*RECOMMENDED:
  - Cargo Box NOT INCLUDED
*FOR USE WITH:
  -10" Fan NOT INCLUDED</t>
  </si>
  <si>
    <t>K9 FULL CONTAINMENT INSERT</t>
  </si>
  <si>
    <t>*COMPATIBLE WITH EZ-Lift Deck System</t>
  </si>
  <si>
    <t>CK2393ITU20</t>
  </si>
  <si>
    <t>K9 Full Containment Insert
Occupies Full Back Seat
*INCLUDED:
   -Front Sliding Door Partition
   -Rear Partition
   -Door Panels
   -Window Barriers</t>
  </si>
  <si>
    <t>CK2393ITU20-10</t>
  </si>
  <si>
    <t>K9 Full Containment Insert
Occupies Full Back Seat
*INCLUDED:
   -Front Sliding Door Partition
   -Rear Partition
   -Door Panels
   -Window Barriers
*FOR USE WITH:
   -10" Fan NOT INCLUDED</t>
  </si>
  <si>
    <t>FREE STANDING FIREARM MOUNT SYSTEM
*INCLUDES Free Standing Mount ONLY</t>
  </si>
  <si>
    <t>GF1092ITU20</t>
  </si>
  <si>
    <t xml:space="preserve">T-Rail Mount Kit
Free Standing </t>
  </si>
  <si>
    <t>GF1092ITU20A</t>
  </si>
  <si>
    <t>T-Rail Mount Kit
Free Standing 
For Admin Vehicle</t>
  </si>
  <si>
    <t>FIREARM MOUNT SYSTEM TRANSFER KIT
*RECOMMENDED FOR USE With Double T-Rail System</t>
  </si>
  <si>
    <t>GT0536ITU20</t>
  </si>
  <si>
    <t>Firearm Mount Transfer Kit
Forward Facing Partition Mount
With Mount Plate
*ONLY COMPATIBLE WITH:
   -SPT Single Prisoner Transport Partition
*NOT COMPATIBLE WITH:
   -Center Consoles Exceeding 23" Length</t>
  </si>
  <si>
    <t>SKID PLATE</t>
  </si>
  <si>
    <t>SK0561ITU20</t>
  </si>
  <si>
    <t>Skid Plate
Steel 
*FOR USE WITH or WITHOUT:
   -Ecoboost Engine</t>
  </si>
  <si>
    <t>SK0561ITU20H</t>
  </si>
  <si>
    <t>Skid Plate
Steel 
*FOR USE WITH:
   -Hybrid Battery
*COMPATIBLE WITH:
   -Skid Plate SK1492ITU20 *NOT INCLUDED
*NOT COMPATIBLE WITH:
   -Ecoboost Engine</t>
  </si>
  <si>
    <t>SK1492ITU20</t>
  </si>
  <si>
    <t>Skid Plate
Steel
*FOR USE WITH:
   -Hybrid Battery
        (Covers REAR-MOUNTED Hybrid Battery System ONLY)
*COMPATIBLE WITH:
   -Skid Plate SK0561ITU20H *NOT INCLUDED</t>
  </si>
  <si>
    <t>FULL COVER TRANSPORT SEATING</t>
  </si>
  <si>
    <t>*REQUIRED #12VS Stationary Window Cargo Area Rear Partition NOT INCLUDED</t>
  </si>
  <si>
    <t>*FOR USE WITH XL Tall Man Partitions Only</t>
  </si>
  <si>
    <t>QK0494ITU20</t>
  </si>
  <si>
    <t>Full COVER Transport Seat
TPO Plastic
With Center Pull Seat Belts</t>
  </si>
  <si>
    <t>QK2142ITU20</t>
  </si>
  <si>
    <t>Full COVER Transport Seat
TPO Plastic
With SETINA SMARTBELT SYSTEM</t>
  </si>
  <si>
    <t>*INCLUDES REQUIRED #12VS Stationary Window Cargo Area Rear Partition</t>
  </si>
  <si>
    <t>*FOR USE WITH XL Tall Man TM &amp; SPT Partitions</t>
  </si>
  <si>
    <t>QK0495ITU20</t>
  </si>
  <si>
    <t>Full COVER Transport Seat
TPO Plastic
With Center Pull Seat Belts
*INCLUDES REQUIRED:
   -#12VS Stationary Window Vinyl Coated Expanded Metal Cargo Area Rear Partition
*Seat Belt Retractors Pre-Installed to Save 30 Minutes of Install Time</t>
  </si>
  <si>
    <t>QK0496ITU20</t>
  </si>
  <si>
    <t>Full COVER Transport Seat
TPO Plastic
With Center Pull Seat Belts
*INCLUDES REQUIRED:
   -#12VS Stationary Window Coated Polycarbonate Cargo Area Rear Partition
*Seat Belt Retractors Pre-Installed to Save 30 Minutes of Install Time</t>
  </si>
  <si>
    <t>QK2143ITU20</t>
  </si>
  <si>
    <t>Full COVER Transport Seat
TPO Plastic
With SETINA SMARTBELT SYSTEM
*INCLUDES REQUIRED:
#12VS Stationary Window Vinyl Coated Expanded Metal Cargo Area Rear Partition
*Seat Belt Retractors Pre-Installed to Save 30 Minutes of Install Time</t>
  </si>
  <si>
    <t>QK2144ITU20</t>
  </si>
  <si>
    <t>Full COVER Transport Seat
TPO Plastic
With SETINA SMARTBELT SYSTEM
*INCLUDES REQUIRED:
   -#12VS Stationary Window Coated Polycarbonate Cargo Area Rear Partition
*Seat Belt Retractors Pre-Installed to Save 30 Minutes of Install Time</t>
  </si>
  <si>
    <t>FULL REPLACMENT TRANSPORT SEAT</t>
  </si>
  <si>
    <t>*REQUIRED #12VS Cargo Area Rear Partition NOT INCLUDED</t>
  </si>
  <si>
    <t>*FOR USE WITH Tall Man TM &amp; SPT Partitions</t>
  </si>
  <si>
    <t>Full REPLACEMENT Transport Seat
TPO Plastic
With Center Pull Seat Belts</t>
  </si>
  <si>
    <t>QK2121ITU20</t>
  </si>
  <si>
    <t>Full REPLACEMENT Transport Seat
TPO Plastic
With SETINA SMARTBELT SYSTEM</t>
  </si>
  <si>
    <t>QK0566ITU20</t>
  </si>
  <si>
    <t>Full REPLACEMENT Transport Seat
TPO Plastic
With Center Pull Seat Belts
*INCLUDES REQUIRED:
   -#12VS Stationary Window Coated Polycarbonate Cargo Area Rear Partition
*Seat Belt Retractors Pre-Installed to Save 30 Minutes of Install Time</t>
  </si>
  <si>
    <t>QK0635ITU20</t>
  </si>
  <si>
    <t>Full REPLACEMENT Transport Seat
TPO Plastic
With Center Pull Seat Belts
*INCLUDES REQUIRED:
   -#12VS Stationary Window Vinyl Coated Expanded Metal Cargo Area Rear Partition
*Seat Belt Retractors Pre-Installed to Save 30 Minutes of Install Time</t>
  </si>
  <si>
    <t>QK2141ITU20</t>
  </si>
  <si>
    <t>Full REPLACEMENT Transport Seat 
TPO Plastic
Wth SETINA SMARTBELT SYSTEM
*INCLUDES REQUIRED:
   -#12VS Stationary Window Coated Polycarbonate Cargo Area Rear Partition
*Seat Belt Retractors Pre-Installed to Save 30 Minutes of Install Time</t>
  </si>
  <si>
    <t>QK2120ITU20</t>
  </si>
  <si>
    <t>Full REPLACEMENT Transport Seat
TPO Plastic
With SETINA SMARTBELT SYSTEM
*INCLUDES REQUIRED:
   -#12VS Stationary Window Vinyl Coated Expanded Metal Cargo Area Rear Partition
*Seat Belt Retractors Pre-Installed to Save 30 Minutes of Install Time</t>
  </si>
  <si>
    <t>SETINA CENTERPULL SEAT BELT SYSTEM
FOR USE WITH STOCK SEAT</t>
  </si>
  <si>
    <t>QK2316ITU20</t>
  </si>
  <si>
    <t>SETINA CENTERPULL SEAT BELT SYSTEM
*FOR USE WITH:
   -Stock Seat
*REQUIRED:
   -#12VS Stationary Window Cargo Partition NOT INCLUDED</t>
  </si>
  <si>
    <t>SETINA SMARTBELT SYSTEM
FOR USE WITH STOCK SEAT</t>
  </si>
  <si>
    <t>QK1316ITU20</t>
  </si>
  <si>
    <t>SETINA SMARTBELT SYSTEM
*FOR USE WITH:
   -Stock Seat
*REQUIRED:
   -#12VS Stationary Window Cargo Partition NOT INCLUDED</t>
  </si>
  <si>
    <t>QK2151ITU20</t>
  </si>
  <si>
    <t>SETINA SMARTBELT SYSTEM
*FOR USE WITH:
   -Stock Seat
*INCLUDES:
   -#12VS Stationary Window Vinyl Coated Expanded Metal Cargo Area Rear Partition
*Seat Belt Retractors Pre-Installed to Save 30 Minutes of Install Time</t>
  </si>
  <si>
    <t>QK2146ITU20</t>
  </si>
  <si>
    <t>SETINA SMARTBELT SYSTEM
*FOR USE WITH:
   -Stock Seat
*INCLUDES:
   -#12VS Stationary Window Coated Polycarbonate Cargo Partition
*Seat Belt Retractors Pre-Installed to Save 30 Minutes of Install Time</t>
  </si>
  <si>
    <t>QK0495ITU25</t>
  </si>
  <si>
    <t>QK0496ITU25</t>
  </si>
  <si>
    <t>QK2143ITU25</t>
  </si>
  <si>
    <t>QK2144ITU25</t>
  </si>
  <si>
    <t>QK0566ITU25</t>
  </si>
  <si>
    <t>QK2141ITU25</t>
  </si>
  <si>
    <t>QK2120ITU25</t>
  </si>
  <si>
    <t>FLOOR PANS</t>
  </si>
  <si>
    <t>*COMPATIBLE With All Setina Seats</t>
  </si>
  <si>
    <t>QK0491ITU20</t>
  </si>
  <si>
    <t>Floor Pan
TPO Plastic</t>
  </si>
  <si>
    <t>PP9640</t>
  </si>
  <si>
    <t>Floor Pan VDRAIN
Individual 1 Piece</t>
  </si>
  <si>
    <t>CARGO BOX</t>
  </si>
  <si>
    <t>*REQUIRED Setina #12VS Rear Cargo Partition Or Freestanding Brackets NOT INCLUDED</t>
  </si>
  <si>
    <t>FIXED TRAY</t>
  </si>
  <si>
    <t>*NOT COMPATIBLE WITH EZ Lift Cargo Deck</t>
  </si>
  <si>
    <t>TK0231ITU20</t>
  </si>
  <si>
    <t>CARGO BOX 
TFN- Tray, Fixed With No Lock
BSN- Base Sliding With No Lock</t>
  </si>
  <si>
    <t>TK0252ITU20</t>
  </si>
  <si>
    <t>CARGO BOX
TFN- Tray, Fixed With No Lock
BSK- Base Sliding With Key Lock</t>
  </si>
  <si>
    <t>TK0244ITU20</t>
  </si>
  <si>
    <t>CARGO BOX
TFN- Tray, Fixed With No Lock
BSC- Base Sliding With Combination Lock</t>
  </si>
  <si>
    <t>TK0839ITU20</t>
  </si>
  <si>
    <t>CARGO BOX
TFN- Tray, Fixed With No Lock
BSE- Base Sliding With Electric Key Pad Lock</t>
  </si>
  <si>
    <t>OPEN-TOP TRAY</t>
  </si>
  <si>
    <t>TK0247ITU20</t>
  </si>
  <si>
    <t>CARGO BOX
TOA- Tray, Open Top With Anchor Points
BSN- Base Sliding With No Lock</t>
  </si>
  <si>
    <t>TK0254ITU20</t>
  </si>
  <si>
    <t>CARGO BOX
TOA- Tray, Open Top With Anchor Points
BSK- Base Sliding With Key Lock</t>
  </si>
  <si>
    <t>TK0236ITU20</t>
  </si>
  <si>
    <t>CARGO BOX
TOA- Tray, Open Top With Anchor Points
BSC- Base Sliding With Combination Lock</t>
  </si>
  <si>
    <t>TK0836ITU20</t>
  </si>
  <si>
    <t>CARGO BOX
TOA- Tray, Open Top With Anchor Points
BSE- Base Sliding With Electic Key Pad Lock</t>
  </si>
  <si>
    <t>TK0835ITU20</t>
  </si>
  <si>
    <t>CARGO BOX
TOA- Tray, Open Top With Anchor Points
BSR- Base Sliding With Electric RFID Lock</t>
  </si>
  <si>
    <t>LIFT-TOP FIXED DRAWER</t>
  </si>
  <si>
    <t>TK0232ITU20</t>
  </si>
  <si>
    <t>CARGO BOX 
LFK- Lift Top, Fixed Box With Key Lock 
BSN- Base Sliding With No Lock</t>
  </si>
  <si>
    <t>TK0253ITU20</t>
  </si>
  <si>
    <t>CARGO BOX
LFK- Lift Top, Fixed Box With Key Lock 
BSK- Base Sliding With Key Lock</t>
  </si>
  <si>
    <t>TK0245ITU20</t>
  </si>
  <si>
    <t>CARGO BOX
LFK- Lift Top, Fixed Box With Key Lock 
BSC- Base Sliding With Combination Lock</t>
  </si>
  <si>
    <t>TK0230ITU20</t>
  </si>
  <si>
    <t>CARGO BOX 
LFC- Lift Top, Fixed Box With Combination Lock
BSN- Base Sliding With No Lock</t>
  </si>
  <si>
    <t>TK0251ITU20</t>
  </si>
  <si>
    <t>CARGO BOX
LFC- Lift Top, Fixed Box With Combination Lock 
BSK- Base Sliding With Key Lock</t>
  </si>
  <si>
    <t>TK0243ITU20</t>
  </si>
  <si>
    <t>CARGO BOX
LFC- Lift Top, Fixed Box With Combination Lock 
BSC- Base Sliding With Combination Lock</t>
  </si>
  <si>
    <t>TK0844ITU20</t>
  </si>
  <si>
    <t>CARGO BOX
LFE- Lift Top, Fixed Box With Electic Key Pad Lock
BSN- Base Sliding With No Lock</t>
  </si>
  <si>
    <t>TK0843ITU20</t>
  </si>
  <si>
    <t>CARGO BOX
LFR- Lift Top, Fixed Box With Electic RFID Lock
BSN- Base Sliding With No Lock</t>
  </si>
  <si>
    <t>SLIDING DRAWER</t>
  </si>
  <si>
    <t>TK0233ITU20</t>
  </si>
  <si>
    <t>CARGO BOX
DSK- Drawer, Sliding With Key Lock
BSN- Base Sliding With No Lock</t>
  </si>
  <si>
    <t>TK0250ITU20</t>
  </si>
  <si>
    <t>CARGO BOX
DSK- Drawer, Sliding With Key Lock
BSK- Base Sliding With Key Lock</t>
  </si>
  <si>
    <t>TK0246ITU20</t>
  </si>
  <si>
    <t>CARGO BOX
DSK- Drawer, Sliding With Key Lock
BSC- Base Sliding With Combination Lock</t>
  </si>
  <si>
    <t>TK0241ITU20</t>
  </si>
  <si>
    <t>CARGO BOX
DSC- Drawer, Sliding With Combination Lock
BSN- Base Sliding With No Lock</t>
  </si>
  <si>
    <t>TK0255ITU20</t>
  </si>
  <si>
    <t>CARGO BOX
DSC- Drawer, Sliding With Combination Lock
BSK- Base Sliding With Key Lock</t>
  </si>
  <si>
    <t>TK0248ITU20</t>
  </si>
  <si>
    <t>CARGO BOX
DSC- Drawer, Sliding With Combination Lock
BSC- Base Sliding With Combination Lock</t>
  </si>
  <si>
    <t>TK0841ITU20</t>
  </si>
  <si>
    <t>CARGO BOX
DSE- Drawer, Sliding With Electric Key Pad Lock
BSN- Base Sliding With No Lock</t>
  </si>
  <si>
    <t>TK0842ITU20</t>
  </si>
  <si>
    <t>CARGO BOX
DSR- Drawer, Sliding With Electic RFID Lock
BSN- Base Sliding With No Lock</t>
  </si>
  <si>
    <t>*COMPATIBLE WITH 2020 EZ Lift Cargo Deck</t>
  </si>
  <si>
    <t>TK0231ITU20EZ</t>
  </si>
  <si>
    <t>CARGO BOX 
TFN- Tray, Fixed With No Lock
BSN- Base Sliding With No Lock
* COMPATIBLE WITH:
   -UTILITY 2020 EZ-LIFT ONLY</t>
  </si>
  <si>
    <t>TK0252ITU20EZ</t>
  </si>
  <si>
    <t>CARGO BOX
TFN- Tray, Fixed With No Lock
BSK- Base Sliding With Key Lock
* COMPATIBLE WITH:
   -UTILITY 2020 EZ-LIFT ONLY</t>
  </si>
  <si>
    <t>TK0244ITU20EZ</t>
  </si>
  <si>
    <t>CARGO BOX
TFN- Tray, Fixed With No Lock
BSC- Base Sliding With Combination Lock
* COMPATIBLE WITH:
   -UTILITY 2020 EZ-LIFT ONLY</t>
  </si>
  <si>
    <t>TK0839ITU20EZ</t>
  </si>
  <si>
    <t>CARGO BOX
TFN- Tray, Fixed With No Lock
BSE- Base Sliding With Electric Key Pad Lock
* COMPATIBLE WITH:
   -UTILITY 2020 EZ-LIFT ONLY</t>
  </si>
  <si>
    <t>TK0247ITU20EZ</t>
  </si>
  <si>
    <t>CARGO BOX
TOA- Tray, Open Top With Anchor Points
BSN- Base Sliding With No Lock
* COMPATIBLE WITH:
   -UTILITY 2020 EZ-LIFT ONLY</t>
  </si>
  <si>
    <t>TK0254ITU20EZ</t>
  </si>
  <si>
    <t>CARGO BOX
TOA- Tray, Open Top With Anchor Points
BSK- Base Sliding With Key Lock
* COMPATIBLE WITH:
   -UTILITY 2020 EZ-LIFT ONLY</t>
  </si>
  <si>
    <t>TK0236ITU20EZ</t>
  </si>
  <si>
    <t>CARGO BOX
TOA- Tray, Open Top With Anchor Points
BSC- Base Sliding With Combination Lock
* COMPATIBLE WITH:
   -UTILITY 2020 EZ-LIFT ONLY</t>
  </si>
  <si>
    <t>TK0836ITU20EZ</t>
  </si>
  <si>
    <t>CARGO BOX
TOA- Tray, Open Top With Anchor Points
BSE- Base Sliding With Electic Key Pad Lock
* COMPATIBLE WITH:
   -UTILITY 2020 EZ-LIFT ONLY</t>
  </si>
  <si>
    <t>TK0835ITU20EZ</t>
  </si>
  <si>
    <t>CARGO BOX
TOA- Tray, Open Top With Anchor Points
BSR- Base Sliding With Electric RFID Lock
* COMPATIBLE WITH:
   -UTILITY 2020 EZ-LIFT ONLY</t>
  </si>
  <si>
    <t>TK0233ITU20EZ</t>
  </si>
  <si>
    <t>CARGO BOX
DSK- Drawer, Sliding With Key Lock
BSN- Base Sliding With No Lock
* COMPATIBLE WITH:
   -UTILITY 2020 EZ-LIFT ONLY</t>
  </si>
  <si>
    <t>TK0250ITU20EZ</t>
  </si>
  <si>
    <t>CARGO BOX
DSK- Drawer, Sliding With Key Lock
BSK- Base Sliding With Key Lock
* COMPATIBLE WITH:
   -UTILITY 2020 EZ-LIFT ONLY</t>
  </si>
  <si>
    <t>TK0246ITU20EZ</t>
  </si>
  <si>
    <t>CARGO BOX
DSK- Drawer, Sliding With Key Lock
BSC- Base Sliding With Combination Lock
* COMPATIBLE WITH:
   -UTILITY 2020 EZ-LIFT ONLY</t>
  </si>
  <si>
    <t>TK0241ITU20EZ</t>
  </si>
  <si>
    <t>CARGO BOX
DSC- Drawer, Sliding With Combination Lock
BSN- Base Sliding With No Lock
* COMPATIBLE WITH:
   -UTILITY 2020 EZ-LIFT ONLY</t>
  </si>
  <si>
    <t>TK0255ITU20EZ</t>
  </si>
  <si>
    <t>CARGO BOX
DSC- Drawer, Sliding With Combination Lock
BSK- Base Sliding With Key Lock
* COMPATIBLE WITH:
   -UTILITY 2020 EZ-LIFT ONLY</t>
  </si>
  <si>
    <t>TK0248ITU20EZ</t>
  </si>
  <si>
    <t>CARGO BOX
DSC- Drawer, Sliding With Combination Lock
BSC- Base Sliding With Combination Lock
* COMPATIBLE WITH:
   -UTILITY 2020 EZ-LIFT ONLY</t>
  </si>
  <si>
    <t>TK0841ITU20EZ</t>
  </si>
  <si>
    <t>CARGO BOX
DSE- Drawer, Sliding With Electric Key Pad Lock
BSN- Base Sliding With No Lock
* COMPATIBLE WITH:
   -UTILITY 2020 EZ-LIFT ONLY</t>
  </si>
  <si>
    <t>TK0842ITU20EZ</t>
  </si>
  <si>
    <t>CARGO BOX
DSR- Drawer, Sliding With Electic RFID Lock
BSN- Base Sliding With No Lock
* COMPATIBLE WITH:
   -UTILITY 2020 EZ-LIFT ONLY</t>
  </si>
  <si>
    <t>**CARGO BOX TRANSFER KITS ARE AVAILABLE. PLEASE CONTACT YOUR REGIONS REPRESENTATIVE FOR PART NUMBER AND PRICE**</t>
  </si>
  <si>
    <t>CARGO BOX
ACCESSORY</t>
  </si>
  <si>
    <t>TPA9289</t>
  </si>
  <si>
    <t>Cargo Radio Tray
With No lock TRN</t>
  </si>
  <si>
    <t>TPA12419</t>
  </si>
  <si>
    <t>Cargo Tray Top Sliding White Board 
*COMPATIBLE WITH:
   -Cargo Radio Tray With No Lock TRN</t>
  </si>
  <si>
    <t>TPA12874</t>
  </si>
  <si>
    <t>Cargo Tray Lift Top Sliding White Board
*COMPATIBLE WITH:
   -Cargo Radio Tray With No Lock TRN</t>
  </si>
  <si>
    <t>CARGO BOX BRACKETS</t>
  </si>
  <si>
    <t>TF0292ITU20</t>
  </si>
  <si>
    <t>Freestanding Cargo Box Bracket Kit
*NOT COMPATIBLE WITH:
   -EZ Lift Cargo Deck</t>
  </si>
  <si>
    <t>CARGO DECK
*Replaces Cargo Floor 
*NOT COMPATIBLE WITH Lift Top Series Cargo Boxes
*REQUIRED #12VS Cargo Area Rear Partition NOT INCLUDED</t>
  </si>
  <si>
    <t>TK2307ITU20</t>
  </si>
  <si>
    <t>Cargo Rear Deck EZ Lift
With Lower Tray
*REPLACES CARGO FLOOR
*NOT COMPATIBLE WITH:
   -Lift Top Series Cargo Boxes</t>
  </si>
  <si>
    <t>TK1413ITU20</t>
  </si>
  <si>
    <t>EZ Lift Dual Drawer System
With Driver Side Simplex Lock Qty 1, Passenger Side Key Handle Lock</t>
  </si>
  <si>
    <t>TK1417ITU20</t>
  </si>
  <si>
    <t>EZ Lift Dual Drawer System
With Key Handle Locks Qty 2</t>
  </si>
  <si>
    <t>TK1418ITU20</t>
  </si>
  <si>
    <t>EZ Lift Dual Drawer System
With Simplex Locks Qty 2</t>
  </si>
  <si>
    <t>TK1320ITU20</t>
  </si>
  <si>
    <t>Elevated Single Drawer Cargo Box
Required:
  - #12VS Rear Cargo Partition</t>
  </si>
  <si>
    <t>TK1431ITU20</t>
  </si>
  <si>
    <t>Cargo Command Module
*Only Compatible with EZ Lift Dual Drawer System</t>
  </si>
  <si>
    <t>TK2321ITU20</t>
  </si>
  <si>
    <t>EZ Lift Concealed Lock Boxes
*Not Compatible with Factory Deck</t>
  </si>
  <si>
    <t>CARGO DECK
*Replaces Cargo Floor 
*NOT COMPATIBLE WITH Lift Top Series Cargo Boxes
*REQUIRED #12VS Cargo Area Rear Partition with Radio Panel NOT INCLUDED</t>
  </si>
  <si>
    <t>TK1105ITU20</t>
  </si>
  <si>
    <t>CARGO DECK
*Replaces Cargo Floor 
*NOT COMPATIBLE WITH Lift Top Series Cargo Boxes</t>
  </si>
  <si>
    <t>TK1423ITU20</t>
  </si>
  <si>
    <t>TK1720ITU20</t>
  </si>
  <si>
    <t>TK1789ITU20</t>
  </si>
  <si>
    <t>***NEW CARGO DECK MAX SYSTEM**</t>
  </si>
  <si>
    <t>TK1552ITU20</t>
  </si>
  <si>
    <t>CARGO DECK w/ DRAWER MAX WITH KEY LOCK
*NOT COMPATIBLE WITH: SPT Partition
*INCLUDES REQUIRED:
   -Dual Poly Wall for Recessed Panel or XL Front Partition
   -Lower Cargo Deck w/ Rubber Mat
   -Storage Box
   -Door Panel 1pc Driver Side ONLY
*DOES NOT INCLUDE REQUIRED:
   -Recessed Panel or XL Front Partition
   -#12VS Rear Partition</t>
  </si>
  <si>
    <t>TPA18454</t>
  </si>
  <si>
    <t>Upper Cargo Deck
*REQUIRED:
   -TK1552ITU20 Cargo Deck w/ Drawer Max NOT INCLUDED</t>
  </si>
  <si>
    <t>1D1388ITU20</t>
  </si>
  <si>
    <t>Door Panel 1pc Passenger Side ONLY</t>
  </si>
  <si>
    <t>Window Barrier 2pc Set Horizontal Steel Bars</t>
  </si>
  <si>
    <t>***NEW CARGO DECK SUPER MAX SYSTEM**</t>
  </si>
  <si>
    <t>*INCLUDES: CARGO DECK W/ DRAWER MAX AND ALL AVAILABLE OPTIONAL ACCESSORIES
*DOES NOT INCLUDE REQUIRED RECESSED PANEL/XL FRONT PARTITION OR #12VS REAR PARTITION</t>
  </si>
  <si>
    <t>TK1553ITU20</t>
  </si>
  <si>
    <t>CARGO DECK w/ DRAWER SUPER MAX WITH KEY LOCK
*NOT COMPATIBLE WITH: SPT Partition
*INCLUDES REQUIRED:
   -Dual Poly Wall for Recessed Panel or XL Front Partition
   -Lower Cargo Deck w/ Rubber Mat
   -Storage Box
   -Door Panel 1pc Driver Side ONLY
*INCLUDES OPTIONAL ACCESSORIES:
   -Upper Cargo Deck
   -TPO Single Replacement Seat w/ Center Pull Seat Belt
   -Door Panel Aluminum 1pc Passenger Side ONLY
   -Window Barrier 2pc Set Horizontal Bars
*DOES NOT INCLUDE REQUIRED:
   -Recessed Panel or XL Front Partition
   -#12VS Rear Partition</t>
  </si>
  <si>
    <t>TK1769ITU20</t>
  </si>
  <si>
    <t>CARGO DECK w/ DRAWER SUPER MAX &amp; SIMPLEX LOCK
*NOT COMPATIBLE WITH: SPT Partition
*INCLUDES REQUIRED:
   -Dual Poly Wall for Recessed Panel or XL Front Partition
   -Lower Cargo Deck w/ Rubber Mat
   -Storage Box
   -Door Panel 1pc Driver Side ONLY
*INCLUDES OPTIONAL ACCESSORIES:
   -Upper Cargo Deck
   -TPO Single Replacement Seat w/ Smart Belt System
   -Door Panel Aluminum 1pc Passenger Side ONLY
   -Window Barrier 2pc Set Horizontal Bars
*DOES NOT INCLUDE REQUIRED:
   -Recessed Panel or XL Front Partition
   -#12VS Rear Partition</t>
  </si>
  <si>
    <t>SCALE BOX</t>
  </si>
  <si>
    <t>*RECOMMENDED #12VS Cargo Area Rear Partition NOT INCLUDED</t>
  </si>
  <si>
    <t>TK0888ITU20</t>
  </si>
  <si>
    <t xml:space="preserve">Cargo Scale Box
*ACCOMODATES Up To 8 Scales </t>
  </si>
  <si>
    <t>FIREARM MOUNT SYSTEMS</t>
  </si>
  <si>
    <t>GK13681LSSCA</t>
  </si>
  <si>
    <t>Single T-Rail Mount
Large 40MM
With #2 Key Override
*Powdercoated Green</t>
  </si>
  <si>
    <t>GK23251L</t>
  </si>
  <si>
    <t>Single T-Rail Mount
Large 40MM
With #2 Key Override
*Powdercoated Black</t>
  </si>
  <si>
    <t>GK2388ITU20</t>
  </si>
  <si>
    <t>Single T-Rail Mount
Hatch Mount
Universal Lock
#2 Key Override</t>
  </si>
  <si>
    <t>GK2388ITU20HK</t>
  </si>
  <si>
    <t>Single T-Rail Mount
Hatch Mount
Universal Lock
Handcuff Key Override</t>
  </si>
  <si>
    <t>PK1138MUE21</t>
  </si>
  <si>
    <t>PK1137MUE21</t>
  </si>
  <si>
    <t>PK1144MUE21</t>
  </si>
  <si>
    <t>PK1140MUE21</t>
  </si>
  <si>
    <t>PK1134MUE21</t>
  </si>
  <si>
    <t>PK1133MUE21</t>
  </si>
  <si>
    <t>PK1130MUE21</t>
  </si>
  <si>
    <t>PK1129MUE21</t>
  </si>
  <si>
    <t>PK1126MUE21</t>
  </si>
  <si>
    <t>PK1125MUE21</t>
  </si>
  <si>
    <t>PK1186MUE21</t>
  </si>
  <si>
    <t>PK1185MUE21</t>
  </si>
  <si>
    <t>SINGLE PRISONER TRANSPORT PARTITIONS</t>
  </si>
  <si>
    <t>*INCLUDES Lower Extension Panels</t>
  </si>
  <si>
    <t>Requires #12VS Partition - Sold Separately</t>
  </si>
  <si>
    <t>1K0574MUE21FR</t>
  </si>
  <si>
    <t>1K0576MUE21FR</t>
  </si>
  <si>
    <t>SPT Single Prisoner Transport Partition
#7VS SPT  Stationary Window
Vinyl Coated Expaneded Metal
*FOR USE WITH:
   -Full REPLACEMENT Transport Partition Seat</t>
  </si>
  <si>
    <t>2K0035MUE21XLFR</t>
  </si>
  <si>
    <t>DPT Dual Prisoner Transport Partition
*FOR USE WITH:
   - XL PANEL Partition
   - Full REPLACEMENT Transport Seat</t>
  </si>
  <si>
    <t>CARGO AREA REAR PARTITIONS</t>
  </si>
  <si>
    <t>*FOR USE BEHIND 2nd Row Seat ONLY</t>
  </si>
  <si>
    <t>PK0666MUE21</t>
  </si>
  <si>
    <t>FOLD DOWN RADIO STORAGE LOCKER
Cargo Area Rear Partition
#12VS Stationary Window - Coated Polycarbonate</t>
  </si>
  <si>
    <t>BK0534MUE21</t>
  </si>
  <si>
    <t>BK0535MUE21</t>
  </si>
  <si>
    <t>PB400 VS Bumper
Steel
Full Bumper</t>
  </si>
  <si>
    <t>PB450L LIGHTED PUSH BUMPERS</t>
  </si>
  <si>
    <t>2 Forward Facing Lights</t>
  </si>
  <si>
    <t>BK2017MUE21</t>
  </si>
  <si>
    <t>PB450L2
With WHELEN ION  TRI-COLOR</t>
  </si>
  <si>
    <t>BK2166MUE21</t>
  </si>
  <si>
    <t>BK2124MUE21</t>
  </si>
  <si>
    <t>4 Lights Total: 2 Forward Facing, 1 Each Side</t>
  </si>
  <si>
    <t>BK2019MUE21</t>
  </si>
  <si>
    <t>BK2168MUE21</t>
  </si>
  <si>
    <t>BK0802MUE21</t>
  </si>
  <si>
    <t>BK1001MUE21</t>
  </si>
  <si>
    <t>BK2338MUE21</t>
  </si>
  <si>
    <t>BK0282MUE21</t>
  </si>
  <si>
    <t>BK1583MUE21</t>
  </si>
  <si>
    <t>BK1603MUE21</t>
  </si>
  <si>
    <t>BK1557MUE21</t>
  </si>
  <si>
    <t>BK1687MUE21</t>
  </si>
  <si>
    <t>BK1525MUE21</t>
  </si>
  <si>
    <t>BK1509MUE21</t>
  </si>
  <si>
    <t>BK1541MUE21</t>
  </si>
  <si>
    <t>BK1584MUE21</t>
  </si>
  <si>
    <t>BK1604MUE21</t>
  </si>
  <si>
    <t>BK1558MUE21</t>
  </si>
  <si>
    <t>BK1366MUE21</t>
  </si>
  <si>
    <t>BK1526MUE21</t>
  </si>
  <si>
    <t>BK1510MUE21</t>
  </si>
  <si>
    <t>BK1542MUE21</t>
  </si>
  <si>
    <t>BK1585MUE21</t>
  </si>
  <si>
    <t>BK1559MUE21</t>
  </si>
  <si>
    <t>BK1527MUE21</t>
  </si>
  <si>
    <t>BK1511MUE21</t>
  </si>
  <si>
    <t>BK1543MUE21</t>
  </si>
  <si>
    <t>HK0809MUE21</t>
  </si>
  <si>
    <t>FK0400MUE21</t>
  </si>
  <si>
    <t xml:space="preserve">PB5 Fender Wraps
PB300/400 </t>
  </si>
  <si>
    <t>DK0598MUE21</t>
  </si>
  <si>
    <t>WK0595MUE21</t>
  </si>
  <si>
    <t>WK1200MUE21</t>
  </si>
  <si>
    <t>Window Barrier VS Rear Hatch
Steel Horizontal
Rear Cargo Compartment</t>
  </si>
  <si>
    <t>TRANSPORT SEATING</t>
  </si>
  <si>
    <t>QK2112MUE21</t>
  </si>
  <si>
    <t>Full REPLACEMENT Transport Seat
TPO Plastic
With Factory Seat Belts</t>
  </si>
  <si>
    <t>FIREARM SYSTEMS</t>
  </si>
  <si>
    <t>GK03831SMUE21</t>
  </si>
  <si>
    <t>Single T-Rail Mount
Small
With #2 Key Override
COMPATIBLE WITH:
  - Single Prisoner Partitions</t>
  </si>
  <si>
    <t>GK03831SMUE21HK</t>
  </si>
  <si>
    <t>Single T-Rail Mount
Small
With Handcuff Key Override
COMPATIBLE WITH:
  - Single Prisoner Partitions</t>
  </si>
  <si>
    <t>FLAT PANEL PARTITIONS
*REQUIRED Full Lower Extension Panel NOT INCLUDED</t>
  </si>
  <si>
    <t>PK0116EPD18</t>
  </si>
  <si>
    <t>#6VS Stationary Window
Coated Polycarbonate
Flat Panel Partition</t>
  </si>
  <si>
    <t>PK0115EPD18</t>
  </si>
  <si>
    <t>#6VS Stationary Window
Uncoated Polycarbonate
Flat Panel Partition</t>
  </si>
  <si>
    <t>PK0326EPD18</t>
  </si>
  <si>
    <t>#6/7VS 3-Piece Stationary Window
Vinyl Coated Expanded Metal Center Section With Coated Poly Outer
Flat Panel Partition</t>
  </si>
  <si>
    <t>PK0117EPD18</t>
  </si>
  <si>
    <t>#7VS Stationary Window
Vinyl Coated Expanded Metal
Flat Panel Partition</t>
  </si>
  <si>
    <t>PK0119EPD18</t>
  </si>
  <si>
    <t>#8VS Stationary Window
1/2 Coated Polycarbonate 1/2 Vinyl Coated Expanded Metal
Flat Panel Partition</t>
  </si>
  <si>
    <t>PK0118EPD18</t>
  </si>
  <si>
    <t>#8VS Stationary Window
1/2 Uncoated Polycarbonate 1/2 Vinyl Coated Expanded Metal
Flat Panel Partition</t>
  </si>
  <si>
    <t>PK0121EPD18</t>
  </si>
  <si>
    <t>#10VS Horizontal Sliding Window
Coated Polycarbonate
Flat Panel Partition</t>
  </si>
  <si>
    <t>PK0350EPD18</t>
  </si>
  <si>
    <t>#10VS C Horizontal Sliding Window
Coated Polycarbonate
With  Vinyl Coated Expanded Metal Window Security Screen
Flat Panel Partition</t>
  </si>
  <si>
    <t>PK0601EPD18</t>
  </si>
  <si>
    <t>#10VS  C Horizontal Sliding Window
Uncoated Polycarbonate
With  Expanded Metal Window Security Screen
Flat Panel Partition</t>
  </si>
  <si>
    <t>PK0225EPD18</t>
  </si>
  <si>
    <t>#10VS C2  Horizontal Sliding Window
Uncoated Polycarbonate
With Slotted Polycarbonate Window Security Screen
Flat Panel Partition</t>
  </si>
  <si>
    <t>PK0374EPD18</t>
  </si>
  <si>
    <t>#6VS RP Stationary Window
Coated Polycarbonate
Recessed Panel Partition</t>
  </si>
  <si>
    <t>PK0373EPD18</t>
  </si>
  <si>
    <t>#6VS RP Stationary Window
Uncoated Polycarbonate
Recessed Panel Partition</t>
  </si>
  <si>
    <t>PK0517EPD18</t>
  </si>
  <si>
    <t>#6/7VS RP 3-Piece Stationary Window
Coated Polycarbonate With Vinyl Coated Expanded Metal Center Section
Recessed Panel Partition</t>
  </si>
  <si>
    <t>PK0420EPD18</t>
  </si>
  <si>
    <t>#7VS RP Stationary Window
Vinyl Coated Expanded Metal
Recessed Panel Partition</t>
  </si>
  <si>
    <t>PK0369EPD18</t>
  </si>
  <si>
    <t>#8VS RP Stationary Window
1/2 Coated Polycarbonate 1/2 Vinyl Coated Expanded Metal
Recessed Panel Partition</t>
  </si>
  <si>
    <t>PK0398EPD18</t>
  </si>
  <si>
    <t>#8VS RP Stationary Window
1/2 Uncoated Polycarbonate 1/2 Vinyl Coated Expanded Metal
Recessed Panel Partition</t>
  </si>
  <si>
    <t>PK0355EPD18</t>
  </si>
  <si>
    <t>#10VS RP Horizontal Sliding Window
Coated Polycarbonate
Recessed Panel Partition</t>
  </si>
  <si>
    <t>PK0439EPD18</t>
  </si>
  <si>
    <t>#10VS RP Horizontal Sliding Window
Uncoated Polycarbonate
Recessed Panel Partition</t>
  </si>
  <si>
    <t>PK0419EPD18</t>
  </si>
  <si>
    <t>#10VS C RP Horizontal Sliding Window
Coated Polycarbonate
With  Expanded Metal Window Security Screen
Recessed Panel Partition</t>
  </si>
  <si>
    <t>PK0602EPD18</t>
  </si>
  <si>
    <t>#10VS C RP Horizontal Sliding Window
Uncoated Polycarbonate
With Expanded Metal Window Security Screen
Recessed Panel Partition</t>
  </si>
  <si>
    <t>PK0228EPD18</t>
  </si>
  <si>
    <t>#10VS C2 RP Horizontal Sliding Window
Coated Polycarbonate
With Slotted Poly Window Security Screen
Recessed Panel Partition</t>
  </si>
  <si>
    <t>PK0227EPD18</t>
  </si>
  <si>
    <t>#10VS C2 RP Horizontal Sliding Window
Uncoated Polycarbonate
With Slotted Poly Window Security Screen
Recessed Panel Partition</t>
  </si>
  <si>
    <t>PK1164EPD18</t>
  </si>
  <si>
    <t>#6XL Stationary Window
Coated Polycarbonate
XL Panel Partition</t>
  </si>
  <si>
    <t>PK1163EPD18</t>
  </si>
  <si>
    <t>#6XL Stationary Window
Uncoated Polycarbonate
XL Panel Partition</t>
  </si>
  <si>
    <t>PK1170EPD18</t>
  </si>
  <si>
    <t>#6/7XL 3-Piece Stationary Window
Coated Polycarbonate With Vinyl Coated Expanded Metal Center Section
XL Panel Partition</t>
  </si>
  <si>
    <t>PK1166EPD18</t>
  </si>
  <si>
    <t>#7XL Stationary Window
Vinyl Coated Expanded Metal Partition
XL Panel Partition</t>
  </si>
  <si>
    <t>PK1160EPD18</t>
  </si>
  <si>
    <t>#8XL Stationary Window
1/2 Coated Polycarbonate 1/2 Vinyl Coated Expanded Metal
XL Panel Partition</t>
  </si>
  <si>
    <t>PK1157EPD18</t>
  </si>
  <si>
    <t>#8XL Stationary Window
1/2 Uncoated Polycarbonate 1/2 Vinyl Coated Expanded Metal
XL Panel Partition</t>
  </si>
  <si>
    <t>PK1156EPD18</t>
  </si>
  <si>
    <t>#10XL Horizontal Sliding Window
Coated Polycarbonate
XL Panel Partition</t>
  </si>
  <si>
    <t>PK1155EPD18</t>
  </si>
  <si>
    <t>#10XL Horizontal Sliding Window
Uncoated Polycarbonate
XL Panel Partition</t>
  </si>
  <si>
    <t>PK1152EPD18</t>
  </si>
  <si>
    <t>#10XL C Horizontal Sliding Window
Coated Polycarbonate
With Expanded Metal Window Security Screen
XL Panel Partition</t>
  </si>
  <si>
    <t>PK1151EPD18</t>
  </si>
  <si>
    <t>#10XL C Horizontal Sliding Window
Uncoated Polycarbonate
With Expanded Metal Window Security Screen
XL Panel Partition</t>
  </si>
  <si>
    <t>PK1188EPD18</t>
  </si>
  <si>
    <t>#10XL C2 Horizontal Sliding Window
Coated Polycarbonate
With Slotted Polycarbonate Window Security Screen
XL Panel Partition</t>
  </si>
  <si>
    <t>PK1187EPD18</t>
  </si>
  <si>
    <t>#10XL C2 Horizontal Sliding Window
Uncoated Polycarbonate
With Slotted Polycarbonate Window Security Screen
XL Panel Partition</t>
  </si>
  <si>
    <t>SINGLE PRISONER TRANSPORT PARTITIONS
*INCLUDES Lower Extension Panels
*REQUIRED #12VS Cargo Partition NOT INCLUDED</t>
  </si>
  <si>
    <t>1K0574EPD18</t>
  </si>
  <si>
    <t>Single Prisoner Transport Partition
#6VS Stationary Window
Coated Polycarbonate 
*FOR USE WITH:
   -Stock Seat</t>
  </si>
  <si>
    <t>1K0576EPD18</t>
  </si>
  <si>
    <t>Single PRISONER Transport Parition
#7VS Stationary Window
Vinyl Coated Expanded Metal
*FOR USE WITH:
   -Stock Seat</t>
  </si>
  <si>
    <t>2K0035EPD18FPWD</t>
  </si>
  <si>
    <t>DPT Dual Prisoner Transport Partition
*FOR USE WITH:
   -FLAT PANEL Partition
   -Full STOCK Seat</t>
  </si>
  <si>
    <t>2K0035EPD18RPWD</t>
  </si>
  <si>
    <t>DPT Dual Prisoner Transport Partition
*FOR USE WITH:
   -RECESSED PANEL Partition
   -Full STOCK Seat</t>
  </si>
  <si>
    <t>2K0035EPD18XLWD</t>
  </si>
  <si>
    <t>DPT Dual Prisoner Transport Partition
*FOR USE WITH:
   -XL PANEL Partition
   -Full STOCK Seat</t>
  </si>
  <si>
    <t>#12VS</t>
  </si>
  <si>
    <t>*FOR USE BEHIND 2nd Row Seat</t>
  </si>
  <si>
    <t>PK0316EPD182ND</t>
  </si>
  <si>
    <t>Cargo Area Rear Partition
#12VS Stationary Window
Coated Polycarbonate
Standard Length
*FOR USE WITH:
   -2nd Row Seat
*ONLY COMPATIBLE WITH:
   -Stock Seat</t>
  </si>
  <si>
    <t>PK0123EPD182ND</t>
  </si>
  <si>
    <t>Cargo Area Rear Partition
#12VS Stationary Window
Vinyl Coated Expanded Metal
Standard Length
*FOR USE WITH:
   -2nd Row Seat
*ONLY COMPATIBLE WITH:
   -Stock Seat</t>
  </si>
  <si>
    <t>PK0316EPD182NDMAX</t>
  </si>
  <si>
    <t>Cargo Area Rear Partition
#12VS Stationary Window
Coated Polycarbonate
*FOR USE WITH:
   -2nd Row Seat
*ONLY COMPATIBLE WITH:
   -Stock Seat
   -Expedition MAX</t>
  </si>
  <si>
    <t>PK0123EPD182NDMAX</t>
  </si>
  <si>
    <t>Cargo Area Rear Partition
#12VS Stationary Window
Vinyl Coated Expanded Metal
*FOR USE WITH:
   -2nd Row Seat
*ONLY COMPATIBLE WITH:
   -Stock Seat
   -Expedition MAX</t>
  </si>
  <si>
    <t>#14VS</t>
  </si>
  <si>
    <t>PK1178EPD183RDMAX</t>
  </si>
  <si>
    <t>Cargo Area Rear Partition
#14VS Stationary Window
Coated Polycarbonate
*FOR USE WITH:
   -3rd Row Seat
*ONLY COMPATIBLE WITH:
   -Stock Seat
   -Expedition MAX</t>
  </si>
  <si>
    <t>PK1177EPD183RDMAX</t>
  </si>
  <si>
    <t>Cargo Area Rear Partition
#14VS Stationary Window
Vinyl Coated Expanded Metal
*FOR USE WITH:
   -3rd Row Seat
*ONLY COMPATIBLE WITH:
   -Stock Seat
   -Expedition MAX</t>
  </si>
  <si>
    <t>BK0534EPD18</t>
  </si>
  <si>
    <t>BK0060EPD18</t>
  </si>
  <si>
    <t>BK0535EPD18</t>
  </si>
  <si>
    <t>BK2017EPD18</t>
  </si>
  <si>
    <t>BK2166EPD18</t>
  </si>
  <si>
    <t>BK2124EPD18</t>
  </si>
  <si>
    <t>*PB450L2 With Mar Resistant Horizontal Crossbar Pad Add $60 to Price (Call For Part ID)</t>
  </si>
  <si>
    <t>BK2019EPD18</t>
  </si>
  <si>
    <t>BK2168EPD18</t>
  </si>
  <si>
    <t>PB450L4
With SOUNDOFF SIGNAL MPOWER T-COLOR 18-LED</t>
  </si>
  <si>
    <t>BK0802EPD18</t>
  </si>
  <si>
    <t>*PB450L4 With Mar Resistant Horizontal Crossbar Pad Add $60 to Price (Call For Part ID)</t>
  </si>
  <si>
    <t>BK1001EPD18</t>
  </si>
  <si>
    <t>BK2338EPD18</t>
  </si>
  <si>
    <t>BK0282EPD18</t>
  </si>
  <si>
    <t>BK1583EPD18</t>
  </si>
  <si>
    <t>BK1603EPD18</t>
  </si>
  <si>
    <t>BK1557EPD18</t>
  </si>
  <si>
    <t>BK1687EPD18</t>
  </si>
  <si>
    <t>BK1525EPD18</t>
  </si>
  <si>
    <t>BK1509EPD18</t>
  </si>
  <si>
    <t>BK1541EPD18</t>
  </si>
  <si>
    <t>BK1584EPD18</t>
  </si>
  <si>
    <t>BK1604EPD18</t>
  </si>
  <si>
    <t>BK1558EPD18</t>
  </si>
  <si>
    <t>BK1366EPD18</t>
  </si>
  <si>
    <t>BK1526EPD18</t>
  </si>
  <si>
    <t>BK1510EPD18</t>
  </si>
  <si>
    <t>BK1542EPD18</t>
  </si>
  <si>
    <t>BK1585EPD18</t>
  </si>
  <si>
    <t>BK1559EPD18</t>
  </si>
  <si>
    <t>BK1527EPD18</t>
  </si>
  <si>
    <t>BK1511EPD18</t>
  </si>
  <si>
    <t>BK1543EPD18</t>
  </si>
  <si>
    <t>***2018-2021 MODEL YEAR FENDER WRAPS***</t>
  </si>
  <si>
    <t>FK0400EPD18</t>
  </si>
  <si>
    <t>***2018-2021 MODEL YEAR HEADLIGHT GUARDS***</t>
  </si>
  <si>
    <t>HK0809EPD18</t>
  </si>
  <si>
    <t>***2022-2024 MODEL YEAR FENDER WRAPS***</t>
  </si>
  <si>
    <t>FK0400EPD22</t>
  </si>
  <si>
    <t>FK0402EPD22</t>
  </si>
  <si>
    <t>FK2271EPD22</t>
  </si>
  <si>
    <t>***2022-2024 MODEL YEAR HEADLIGHT GUARDS***</t>
  </si>
  <si>
    <t>HK0809EPD22</t>
  </si>
  <si>
    <t>HK2273EPD22</t>
  </si>
  <si>
    <t>HK2272EPD22</t>
  </si>
  <si>
    <t>***2018-2024 MODEL YEAR***</t>
  </si>
  <si>
    <t>WINDOW BARRIERS
*COMPATIBLE With Stock Or Setina Door Panels</t>
  </si>
  <si>
    <t>WK0595EPD18</t>
  </si>
  <si>
    <t>Window Barrier 
Polycarbonate</t>
  </si>
  <si>
    <t>WK1491EPD18T</t>
  </si>
  <si>
    <t>Window Barrier 
Polycarbonate Tinted</t>
  </si>
  <si>
    <t>WK0514EPD18</t>
  </si>
  <si>
    <t>Window Barrier 
Steel Vertical</t>
  </si>
  <si>
    <t>DK0598EPD18</t>
  </si>
  <si>
    <t xml:space="preserve">Door Panel
Aluminum
Replaces OEM Door Panels </t>
  </si>
  <si>
    <t>GF1092EPD18</t>
  </si>
  <si>
    <t>FIREARM MOUNT SYSTEM TRANSFER KIT
*RECOMMENDED FOR USE with Double T-Rail System</t>
  </si>
  <si>
    <t>GT0536EPD07</t>
  </si>
  <si>
    <t>Firearm Mount Transfer Kit
Forward Facing Partition Mount
Without Mount Plate
*ONLY FOR USE WITH:
   -SPT Single Prisoner Transport Partition</t>
  </si>
  <si>
    <t>TK0839EPD18</t>
  </si>
  <si>
    <t>TK0232EPD18</t>
  </si>
  <si>
    <t>TK0230EPD18</t>
  </si>
  <si>
    <t>TK0243EPD18</t>
  </si>
  <si>
    <t>TK0233EPD18</t>
  </si>
  <si>
    <t>TK0250EPD18</t>
  </si>
  <si>
    <t>TK0241EPD18</t>
  </si>
  <si>
    <t>TK0255EPD18</t>
  </si>
  <si>
    <t>TK0248EPD18</t>
  </si>
  <si>
    <t>TK0841EPD18</t>
  </si>
  <si>
    <t>TF0237EPD18</t>
  </si>
  <si>
    <t>Freestanding Cargo Box Bracket Kit</t>
  </si>
  <si>
    <t>FLAT PANEL PARTITIONS
*INCLUDES Full Lower Extension Panel</t>
  </si>
  <si>
    <t>PK0116FDT15F150</t>
  </si>
  <si>
    <t>PK0115FDT15F150</t>
  </si>
  <si>
    <t>PK0326FDT15F150</t>
  </si>
  <si>
    <t>#6/7VS 3-Piece Stationary Window
Coated Polycarbonate With Vinyl Coated Expanded Metal Center Section
Flat Panel Partition</t>
  </si>
  <si>
    <t>PK0117FDT15F150</t>
  </si>
  <si>
    <t>PK0119FDT15F150</t>
  </si>
  <si>
    <t>PK0118FDT15F150</t>
  </si>
  <si>
    <t>PK0121FDT15F150</t>
  </si>
  <si>
    <t>PK0120FDT15F150</t>
  </si>
  <si>
    <t>#10VS Horizontal Sliding Window
Uncoated Polycarbonate
Flat Panel Partition</t>
  </si>
  <si>
    <t>PK0350FDT15F150</t>
  </si>
  <si>
    <t>#10VS C Horizontal Sliding Window
Coated Polycarbonate
With Expanded Metal Window Security Screen
Flat Panel Partition</t>
  </si>
  <si>
    <t>PK0601FDT15F150</t>
  </si>
  <si>
    <t>#10VS  C Horizontal Sliding Window
Uncoated Polycarbonate
With Expanded Metal Window Security Screen
Flat Panel Partition</t>
  </si>
  <si>
    <t>PK0226FDT15F150</t>
  </si>
  <si>
    <t>#10VS C2 Coated Polycarbonate
With Slotted Polycarbonate Window Security Screen
Flat Panel Partition</t>
  </si>
  <si>
    <t>PK0225FDT15F150</t>
  </si>
  <si>
    <t>PK0374FDT15F150</t>
  </si>
  <si>
    <t>PK0373FDT15F150</t>
  </si>
  <si>
    <t>PK0517FDT15F150</t>
  </si>
  <si>
    <t>PK0420FDT15F150</t>
  </si>
  <si>
    <t>PK0369FDT15F150</t>
  </si>
  <si>
    <t>PK0398FDT15F150</t>
  </si>
  <si>
    <t>PK0439FDT15F150</t>
  </si>
  <si>
    <t>PK0419FDT15F150</t>
  </si>
  <si>
    <t>#10VS C RP Horizontal Sliding Window
Coated Polycarbonate
With Expanded Metal Window Security Screen
Recessed Panel Partition</t>
  </si>
  <si>
    <t>PK0602FDT15F150</t>
  </si>
  <si>
    <t>PK0228FDT15F150</t>
  </si>
  <si>
    <t>PK0227FDT15F150</t>
  </si>
  <si>
    <t>1K0574FDT15F150PDR</t>
  </si>
  <si>
    <t>Single Prisoner Transport Partition
#6VS Stationary Window
Coated Polycarbonate 
*ONLY COMPATIBLE WITH:
   -Stock Seat
*FOR USE WITH:
   -Driver's Side Rear Seat</t>
  </si>
  <si>
    <t>1K0574FDT15F150WOD</t>
  </si>
  <si>
    <t>Single Prisoner Transport Partition
#6VS Stationary Window
Coated Polycarbonate 
*ONLY COMPATIBLE WITH:
   -Partial Stock Seat
   -SPT Seat
*FOR USE WITHOUT:
   -Driver's Side Rear Seat</t>
  </si>
  <si>
    <t>1K0576FDT15F150EDR</t>
  </si>
  <si>
    <t>Single Prisoner Transport Partition
#7VS Stationary Window
Vinyl Coated Expanded Metal
*ONLY COMPATIBLE WITH:
   -Stock Seat
*FOR USE WITH:
   -Driver's Side Rear Seat</t>
  </si>
  <si>
    <t>1K0576FDT15F150WOD</t>
  </si>
  <si>
    <t>Single Prisoner Transport Partition
#7VS Stationary Window
Vinyl Coated Expanded Metal
*ONLY COMPATIBLE WITH:
   -Stock Seat
*FOR USE WITHOUT:
   -Driver's Side Rear Seat</t>
  </si>
  <si>
    <t>DUAL PRISONER TRANSPORT PARTITIONS
*REQUIRED Front Partition NOT INCLUDED</t>
  </si>
  <si>
    <t>2K0035FDT15F150FP</t>
  </si>
  <si>
    <t>DPT Dual Prisoner Transport Partition
*FOR USE WITH:
   -FLAT PANEL Partition
   -Full STOCK Seat
*NOT COMPATIBLE WITH:
  -Rear Window Barrier</t>
  </si>
  <si>
    <t>2K0035FDT15F150FPRW</t>
  </si>
  <si>
    <t>DPT Dual Prisoner Transport Partition
*FOR USE WITH:
   -FLAT PANEL Partition
   -Full STOCK Seat
   -Rear Window Barrier *SOLD SEPERATELY*</t>
  </si>
  <si>
    <t>2K0035FDT15F150RP</t>
  </si>
  <si>
    <t>DPT Dual Prisoner Transport Partition
*FOR USE WITH:
   -RECESSED PANEL Partition
   -Full STOCK Seat
*NOT COMPATIBLE WITH:
  -Rear Window Barrier</t>
  </si>
  <si>
    <t>2K0035FDT15F150RPWDRW</t>
  </si>
  <si>
    <t>DPT Dual Prisoner Transport Partition
*FOR USE WITH:
   -RECESSED PANEL Partition
   -Full STOCK Seat
  -Rear Window Barrier *SOLD SEPERATELY*</t>
  </si>
  <si>
    <t>2K0035FDT15F150RPNS</t>
  </si>
  <si>
    <t>DPT Dual Prisoner Transport Partition
*FOR USE WITH:
   -RECESSED PANEL Partition
   -PARTIAL STOCK Seat
*NOT COMPATIBLE WITH:
  -Rear Window Barrier</t>
  </si>
  <si>
    <t>2K0035FDT15F150RPNDRW</t>
  </si>
  <si>
    <t>DPT Dual Prisoner Transport Partition
*FOR USE WITH:
   -RECESSED PANEL Partition
   -PARTIAL STOCK Seat
  -Rear Window Barrier *SOLD SEPERATELY*</t>
  </si>
  <si>
    <t>***2015-2020 MODEL YEAR BUMPERS***</t>
  </si>
  <si>
    <t>BK0534FDT15F150</t>
  </si>
  <si>
    <t>BK0535FDT15F150</t>
  </si>
  <si>
    <t>BK0060FDT15F150</t>
  </si>
  <si>
    <t>BK2017FDT15F150</t>
  </si>
  <si>
    <t>BK2166FDT15F150</t>
  </si>
  <si>
    <t>BK2124FDT15F150</t>
  </si>
  <si>
    <t>BK2019FDT15F150</t>
  </si>
  <si>
    <t>BK2168FDT15F150</t>
  </si>
  <si>
    <t>BK0802FDT15F150</t>
  </si>
  <si>
    <t>BK1001FDT15F150</t>
  </si>
  <si>
    <t>BK2338FDT15F150</t>
  </si>
  <si>
    <t>BK0282FDT15F150</t>
  </si>
  <si>
    <t>BK1583FDT15F150</t>
  </si>
  <si>
    <t>BK1603FDT15F150</t>
  </si>
  <si>
    <t>BK1557FDT15F150</t>
  </si>
  <si>
    <t>BK1687FDT15F150</t>
  </si>
  <si>
    <t>BK1525FDT15F150</t>
  </si>
  <si>
    <t>BK1509FDT15F150</t>
  </si>
  <si>
    <t>BK1541FDT15F150</t>
  </si>
  <si>
    <t>BK1584FDT15F150</t>
  </si>
  <si>
    <t>BK1604FDT15F150</t>
  </si>
  <si>
    <t>BK1558FDT15F150</t>
  </si>
  <si>
    <t>BK1366FDT15F150</t>
  </si>
  <si>
    <t>BK1526FDT15F150</t>
  </si>
  <si>
    <t>BK1510FDT15F150</t>
  </si>
  <si>
    <t>BK1542FDT15F150</t>
  </si>
  <si>
    <t>BK1585FDT15F150</t>
  </si>
  <si>
    <t>BK1559FDT15F150</t>
  </si>
  <si>
    <t>BK1527FDT15F150</t>
  </si>
  <si>
    <t>BK1511FDT15F150</t>
  </si>
  <si>
    <t>BK1543FDT15F150</t>
  </si>
  <si>
    <t>***2018-2020 MODEL YEAR FENDER WRAPS***</t>
  </si>
  <si>
    <t>FK0402FDT18F150</t>
  </si>
  <si>
    <t>FK2271FDT18F150</t>
  </si>
  <si>
    <t>***2015-2020 MODEL YEAR HEADLIGHT GUARDS***</t>
  </si>
  <si>
    <t>HK0809FDT15F150</t>
  </si>
  <si>
    <t>PB8 Headlight Guard
Double Loop</t>
  </si>
  <si>
    <t>HK2272FDT18F150</t>
  </si>
  <si>
    <t>PB10 Headlight Guard
Steel
With PB9S Fender Wrap
Steel</t>
  </si>
  <si>
    <t>HK2273FDT18F150</t>
  </si>
  <si>
    <t>PB10 Headlight Guard
Steel
With PB9A Fender Wrap
Aluminum</t>
  </si>
  <si>
    <t>***2021-2025 MODEL YEAR BUMPERS***</t>
  </si>
  <si>
    <t>BK0534FDT21F150</t>
  </si>
  <si>
    <t>BK0060FDT21F150</t>
  </si>
  <si>
    <t>BK0535FDT21F150</t>
  </si>
  <si>
    <t>*See "LIGHTS" Page For Additional Lighting Options &amp; Charges</t>
  </si>
  <si>
    <t>BK2017FDT21F150</t>
  </si>
  <si>
    <t>BK2166FDT21F150</t>
  </si>
  <si>
    <t>BK2124FDT21F150</t>
  </si>
  <si>
    <t>BK2019FDT21F150</t>
  </si>
  <si>
    <t>BK2168FDT21F150</t>
  </si>
  <si>
    <t>BK0802FDT21F150</t>
  </si>
  <si>
    <t>BK2055FDT21F150</t>
  </si>
  <si>
    <t>BK1001FDT21F150</t>
  </si>
  <si>
    <t>BK2338FDT21F150</t>
  </si>
  <si>
    <t>BK0282FDT21F150</t>
  </si>
  <si>
    <t>BK1583FDT21F150</t>
  </si>
  <si>
    <t>PB450L2 LIGHT-READY
With CODE3 MR6</t>
  </si>
  <si>
    <t>BK1603FDT21F150</t>
  </si>
  <si>
    <t>PB450L2 LIGHT-READY
With D&amp;R GENESIS</t>
  </si>
  <si>
    <t>BK1557FDT21F150</t>
  </si>
  <si>
    <t>PB450L2 LIGHT-READY
With FEDERAL SIGNAL MICROPULSE</t>
  </si>
  <si>
    <t>BK1687FDT21F150</t>
  </si>
  <si>
    <t>PB450L2 LIGHT-READY
With FENIEX FUSION/ QUAD</t>
  </si>
  <si>
    <t>BK1525FDT21F150</t>
  </si>
  <si>
    <t>PB450L2 LIGHT-READY
With SOUNDOFF SIGNAL MPOWER</t>
  </si>
  <si>
    <t>BK1509FDT21F150</t>
  </si>
  <si>
    <t>PB450L2 LIGHT-READY
With SOUNDOFF SIGNAL NFORCE</t>
  </si>
  <si>
    <t>BK1541FDT21F150</t>
  </si>
  <si>
    <t>PB450L2 LIGHT-READY
With WHELEN ION'</t>
  </si>
  <si>
    <t>BK1584FDT21F150</t>
  </si>
  <si>
    <t>BK1604FDT21F150</t>
  </si>
  <si>
    <t>BK1558FDT21F150</t>
  </si>
  <si>
    <t>BK1366FDT21F150</t>
  </si>
  <si>
    <t>BK1526FDT21F150</t>
  </si>
  <si>
    <t>BK1510FDT21F150</t>
  </si>
  <si>
    <t>BK1542FDT21F150</t>
  </si>
  <si>
    <t>BK1585FDT21F150</t>
  </si>
  <si>
    <t>BK1559FDT21F150</t>
  </si>
  <si>
    <t>BK1527FDT21F150</t>
  </si>
  <si>
    <t>BK1511FDT21F150</t>
  </si>
  <si>
    <t>BK1543FDT21F150</t>
  </si>
  <si>
    <t>***2021-2025 MODEL YEAR FENDER WRAPS***</t>
  </si>
  <si>
    <t>FK0402FDT21F150</t>
  </si>
  <si>
    <t>FK2271FDT21F150</t>
  </si>
  <si>
    <t>***2021-2025 MODEL YEAR HEADLIGHT GUARDS***</t>
  </si>
  <si>
    <t>HK0809FDT21F150</t>
  </si>
  <si>
    <t>HK2272FDT21F150</t>
  </si>
  <si>
    <t>HK2273FDT21F150</t>
  </si>
  <si>
    <t>WK0595FDT15F150</t>
  </si>
  <si>
    <t>Window Barrier
Polycarbonate</t>
  </si>
  <si>
    <t>WK1491FDT15F150T</t>
  </si>
  <si>
    <t>Window Barrier
Polycarbonate Tinted</t>
  </si>
  <si>
    <t>WK0514FDT15F150H</t>
  </si>
  <si>
    <t>Window Barrier
Steel
Horizontal</t>
  </si>
  <si>
    <t>WK0595FDT15F150P</t>
  </si>
  <si>
    <t>Window Barrier Rear Window
Polycarbonate</t>
  </si>
  <si>
    <t>WK0055FDT15F150</t>
  </si>
  <si>
    <t>Window Barrier Rear Window
Steel
Horizontal
WORKS WITH OR WITHOUT INNER EDGE LIGHT BAR</t>
  </si>
  <si>
    <t>WK0626FDT15F150E</t>
  </si>
  <si>
    <t>Window Barrier Rear Window
Steel
Expanded Metal</t>
  </si>
  <si>
    <t>WK0595FDT15F150PIE</t>
  </si>
  <si>
    <t>Window Barrier Rear Window
Polycarbonate
COMPATIBLE WITH: INNER EDGE LIGHT BAR</t>
  </si>
  <si>
    <t>***2015-2020 MODEL YEAR DOOR PANELS***</t>
  </si>
  <si>
    <t>DK0100FDT15F150</t>
  </si>
  <si>
    <t>Door Panel
Aluminum
Replaces OEM</t>
  </si>
  <si>
    <t>***2021-2025 MODEL YEAR DOOR PANELS***</t>
  </si>
  <si>
    <t>GF1382FDT15F150</t>
  </si>
  <si>
    <t>FIREARM MOUNT SYSTEM TRANSFER KIT</t>
  </si>
  <si>
    <t>*RECOMMENDED FOR USE with Double T-Rail System</t>
  </si>
  <si>
    <t>*COMPATIBLE With Year Range 2009-2025</t>
  </si>
  <si>
    <t>GT0536FDT09F150</t>
  </si>
  <si>
    <t>Firearm Mount Transfer Kit
Forward Facing Partition Mount
Without Mount Plate
*ONLY FOR USE WITH:
   -SPTSingle Prisoner Transport Partition</t>
  </si>
  <si>
    <t>*COMPATIBLE With Year Range 2015-2025</t>
  </si>
  <si>
    <t>QK0465FDT15F150</t>
  </si>
  <si>
    <t>TPO Single Replacement Seat w/ Center Pull Seat Belt
*REQUIRED:
   -Cargo Deck w/ Drawer Max OR SPT w/o Driver Side Seat NOT INCLUDED</t>
  </si>
  <si>
    <t>QK2381FDT15F150</t>
  </si>
  <si>
    <t>TPO Single Replacement Seat w/ Smart Belt System
*REQUIRED:
   -Cargo Deck w/ Drawer Max OR SPT w/o Driver Side Seat NOT INCLUDED</t>
  </si>
  <si>
    <t>CREW CAB STORAGE BOX</t>
  </si>
  <si>
    <t>TK2068FDT15F150</t>
  </si>
  <si>
    <t>Storage Box
Crew Cab
*FOR USE UNDER:
   -Rear Factory Seat</t>
  </si>
  <si>
    <t>*DOES NOT INCLUDE REQUIRED RECESSED PANEL FRONT PARTITION
*AVAILABLE OPTIONAL ACCESSORY UPGRADES SOLD SEPERATELY</t>
  </si>
  <si>
    <t>TK1261FDT15F150</t>
  </si>
  <si>
    <t xml:space="preserve">CARGO DECK w/ DRAWER MAX
*NOT COMPATIBLE WITH: Rear Window Barrier
*NOT COMPATIBLE WITH: SPT Partition
*INCLUDES REQUIRED:
   -Dual Poly Wall for Recessed Panel Front Partition
   -Radio Box
   -Lower Cargo Deck w/ Rubber Mat
   -Storage Box
   -Door Panel Aluminum 1pc Driver Side ONLY
*DOES NOT INCLUDE REQUIRED:
   -Recessed Panel Front Partition
</t>
  </si>
  <si>
    <t>TK1261FDT15F150RW</t>
  </si>
  <si>
    <t xml:space="preserve">CARGO DECK w/ DRAWER MAX
*COMPATIBLE WITH: Rear Window Barrier
*NOT COMPATIBLE WITH: SPT Partition
*INCLUDES REQUIRED:
   -Dual Poly Wall for Recessed Panel Front Partition
   -Radio Box
   -Lower Cargo Deck w/ Rubber Mat
   -Storage Box
   -Door Panel Aluminum 1pc Driver Side ONLY
*DOES NOT INCLUDE REQUIRED:
   -Recessed Panel Front Partition
</t>
  </si>
  <si>
    <t>TPA14129</t>
  </si>
  <si>
    <t>Upper Cargo Deck
*REQUIRED:
   -TK1261FDT15F150 OR TK1261FDT15F150RW Cargo Deck w/ Drawer Max NOT INCLUDED</t>
  </si>
  <si>
    <t>1D1388FDT15F150</t>
  </si>
  <si>
    <t>Window Barrier Rear Window
Steel
Horizontal</t>
  </si>
  <si>
    <t>*INCLUDES: CARGO DECK W/ DRAWER MAX AND ALL AVAILABLE OPTIONAL ACCESSORIES
*DOES NOT INCLUDE REQUIRED RECESSED PANEL FRONT PARTITION</t>
  </si>
  <si>
    <t>TK1338FDT15F150</t>
  </si>
  <si>
    <t xml:space="preserve">CARGO DECK w/ DRAWER SUPER MAX
*COMPATIBLE WITH: Rear Window Barrier
*NOT COMPATIBLE WITH: SPT Partition
*INCLUDES REQUIRED:
   -Dual Poly Wall for Recessed Panel Front Partition
   -Radio Box
   -Lower Cargo Deck w/ Rubber Mat
   -Storage Box
   -Door Panel 1pc Driver Side ONLY
*INCLUDES OPTIONAL ACCESSORIES:
   -Upper Cargo Deck
   -TPO Single Replacement Seat w/ Center Pull Seat Belt
   -Door Panel Aluminum 1pc Passenger Side ONLY
   -Window Barrier 2pc Set Horizontal Bars
   -Rear Window Barrier 1pc
*DOES NOT INCLUDE REQUIRED:
   -Recessed Panel Front Partition
</t>
  </si>
  <si>
    <t>TK0888FDT15F150</t>
  </si>
  <si>
    <t>PK0374F1E22</t>
  </si>
  <si>
    <t>PK0373F1E22</t>
  </si>
  <si>
    <t>PK0517F1E22</t>
  </si>
  <si>
    <t>PK0420F1E22</t>
  </si>
  <si>
    <t>PK0369F1E22</t>
  </si>
  <si>
    <t>PK0398F1E22</t>
  </si>
  <si>
    <t>PK0355F1E22</t>
  </si>
  <si>
    <t>PK0439F1E22</t>
  </si>
  <si>
    <t>PK0419F1E22</t>
  </si>
  <si>
    <t>PK0602F1E22</t>
  </si>
  <si>
    <t>PK0228F1E22</t>
  </si>
  <si>
    <t>PK0227F1E22</t>
  </si>
  <si>
    <t>1K0574F1E22PDR</t>
  </si>
  <si>
    <t>1K0574F1E22WOD</t>
  </si>
  <si>
    <t>1K0576F1E22EDR</t>
  </si>
  <si>
    <t>1K0576F1E22WOD</t>
  </si>
  <si>
    <t>BK0534F1E22</t>
  </si>
  <si>
    <t>BK2017F1E22</t>
  </si>
  <si>
    <t>BK2166F1E22</t>
  </si>
  <si>
    <t>BK2124F1E22</t>
  </si>
  <si>
    <t>BK2019F1E22</t>
  </si>
  <si>
    <t>BK2168F1E22</t>
  </si>
  <si>
    <t>BK0802F1E22</t>
  </si>
  <si>
    <t>BK1001F1E22</t>
  </si>
  <si>
    <t>BK2338F1E22</t>
  </si>
  <si>
    <t>BK0282F1E22</t>
  </si>
  <si>
    <t>BK1583F1E22</t>
  </si>
  <si>
    <t>BK1603F1E22</t>
  </si>
  <si>
    <t>BK1557F1E22</t>
  </si>
  <si>
    <t>BK1687F1E22</t>
  </si>
  <si>
    <t>BK1525F1E22</t>
  </si>
  <si>
    <t>BK1509F1E22</t>
  </si>
  <si>
    <t>BK1541F1E22</t>
  </si>
  <si>
    <t>BK1584F1E22</t>
  </si>
  <si>
    <t>BK1604F1E22</t>
  </si>
  <si>
    <t>BK1558F1E22</t>
  </si>
  <si>
    <t>BK1366F1E22</t>
  </si>
  <si>
    <t>BK1526F1E22</t>
  </si>
  <si>
    <t>BK1510F1E22</t>
  </si>
  <si>
    <t>BK1542F1E22</t>
  </si>
  <si>
    <t>BK1585F1E22</t>
  </si>
  <si>
    <t>BK1559F1E22</t>
  </si>
  <si>
    <t>BK1527F1E22</t>
  </si>
  <si>
    <t>BK1511F1E22</t>
  </si>
  <si>
    <t>BK1543F1E22</t>
  </si>
  <si>
    <t>FK0402F1E22</t>
  </si>
  <si>
    <t>HK0809F1E22</t>
  </si>
  <si>
    <t>HK2273F1E22</t>
  </si>
  <si>
    <t>DK0100F1E22</t>
  </si>
  <si>
    <t>DK0598F1E22</t>
  </si>
  <si>
    <t>WK0595F1E22</t>
  </si>
  <si>
    <t>WK1491F1E22T</t>
  </si>
  <si>
    <t>WK0514F1E22H</t>
  </si>
  <si>
    <t>WK0595F1E22P</t>
  </si>
  <si>
    <t>WK0055F1E22</t>
  </si>
  <si>
    <t>WK0626F1E22E</t>
  </si>
  <si>
    <t>GF1382F1E22</t>
  </si>
  <si>
    <t>QK0465F1E22</t>
  </si>
  <si>
    <t>QK2381F1E22</t>
  </si>
  <si>
    <t>TK2068F1E22</t>
  </si>
  <si>
    <t>RADIO BOX</t>
  </si>
  <si>
    <t>AK0968F1E22</t>
  </si>
  <si>
    <t>RADIO BOX - FOR USE IN FRUNK</t>
  </si>
  <si>
    <t>TK1261F1E22</t>
  </si>
  <si>
    <t>TK1261F1E22RW</t>
  </si>
  <si>
    <t>.</t>
  </si>
  <si>
    <t>Upper Cargo Deck
*REQUIRED:
   -TK1261F1E22RW Cargo Deck w/ Drawer Max NOT INCLUDED</t>
  </si>
  <si>
    <t>1D1388F1E22</t>
  </si>
  <si>
    <t>TK1338F1E22</t>
  </si>
  <si>
    <t>PK0116FDT17F250</t>
  </si>
  <si>
    <t>PK0115FDT17F250</t>
  </si>
  <si>
    <t>PK0326FDT17F250</t>
  </si>
  <si>
    <t>PK0117FDT17F250</t>
  </si>
  <si>
    <t>PK0119FDT17F250</t>
  </si>
  <si>
    <t>PK0118FDT17F250</t>
  </si>
  <si>
    <t>PK0121FDT17F250</t>
  </si>
  <si>
    <t>PK0120FDT17F250</t>
  </si>
  <si>
    <t>PK0350FDT17F250</t>
  </si>
  <si>
    <t>PK0601FDT17F250</t>
  </si>
  <si>
    <t>PK0226FDT17F250</t>
  </si>
  <si>
    <t>PK0225FDT17F250</t>
  </si>
  <si>
    <t>PK0374FDT17F250</t>
  </si>
  <si>
    <t>PK0373FDT17F250</t>
  </si>
  <si>
    <t>PK0517FDT17F250</t>
  </si>
  <si>
    <t>PK0420FDT17F250</t>
  </si>
  <si>
    <t>PK0369FDT17F250</t>
  </si>
  <si>
    <t>PK0398FDT17F250</t>
  </si>
  <si>
    <t>PK0355FDT17F250</t>
  </si>
  <si>
    <t>PK0439FDT17F250</t>
  </si>
  <si>
    <t>PK0419FDT17F250</t>
  </si>
  <si>
    <t>PK0602FDT17F250</t>
  </si>
  <si>
    <t>PK0228FDT17F250</t>
  </si>
  <si>
    <t>PK0227FDT17F250</t>
  </si>
  <si>
    <t>1K0574FDT17F250PDR</t>
  </si>
  <si>
    <t>1K0574FDT17F250WOD</t>
  </si>
  <si>
    <t>Single Prisoner Transport Partition
#6VS Stationary Window
Coated Polycarbonate 
*ONLY COMPATIBLE WITH:
   -Stock Seat
*FOR USE WITHOUT:
   -Driver's Side Rear Seat</t>
  </si>
  <si>
    <t>1K0576FDT17F250EDR</t>
  </si>
  <si>
    <t>1K0576FDT17F250E</t>
  </si>
  <si>
    <t>2K0035FDT17F250FP</t>
  </si>
  <si>
    <t>2K0035FDT17F250FPRW</t>
  </si>
  <si>
    <t>2K0035FDT17F250RP</t>
  </si>
  <si>
    <t>2K0035FDT17F250RPWDRW</t>
  </si>
  <si>
    <t>2K0035FDT17F250RPNS</t>
  </si>
  <si>
    <t>***2017-2022 MODEL YEAR BUMPERS***</t>
  </si>
  <si>
    <t>BK0534FDT17F250</t>
  </si>
  <si>
    <t>BK0060FDT17F250</t>
  </si>
  <si>
    <t>BK0535FDT17F250</t>
  </si>
  <si>
    <t>BK2017FDT17F250</t>
  </si>
  <si>
    <t>BK2166FDT17F250</t>
  </si>
  <si>
    <t>BK2124FDT17F250</t>
  </si>
  <si>
    <t>BK2019FDT17F250</t>
  </si>
  <si>
    <t>BK2168FDT17F250</t>
  </si>
  <si>
    <t>BK0802FDT17F250</t>
  </si>
  <si>
    <t>BK1001FDT17F250</t>
  </si>
  <si>
    <t>BK2338FDT17F250</t>
  </si>
  <si>
    <t>BK0282FDT17F250</t>
  </si>
  <si>
    <t>BK1583FDT17F250</t>
  </si>
  <si>
    <t>BK1603FDT17F250</t>
  </si>
  <si>
    <t>BK1557FDT17F250</t>
  </si>
  <si>
    <t>BK1687FDT17F250</t>
  </si>
  <si>
    <t>BK1525FDT17F250</t>
  </si>
  <si>
    <t>BK1509FDT17F250</t>
  </si>
  <si>
    <t>BK1541FDT17F250</t>
  </si>
  <si>
    <t>BK1584FDT17F250</t>
  </si>
  <si>
    <t>BK1604FDT17F250</t>
  </si>
  <si>
    <t>BK1558FDT17F250</t>
  </si>
  <si>
    <t>BK1366FDT17F250</t>
  </si>
  <si>
    <t>BK1526FDT17F250</t>
  </si>
  <si>
    <t>BK1510FDT17F250</t>
  </si>
  <si>
    <t>BK1542FDT17F250</t>
  </si>
  <si>
    <t>BK1585FDT17F250</t>
  </si>
  <si>
    <t>BK1559FDT17F250</t>
  </si>
  <si>
    <t>BK1527FDT17F250</t>
  </si>
  <si>
    <t>BK1511FDT17F250</t>
  </si>
  <si>
    <t>BK1543FDT17F250</t>
  </si>
  <si>
    <t>***2017-2022 MODEL YEAR HEADLIGHT GUARDS***</t>
  </si>
  <si>
    <t>HK0809FDT17F250</t>
  </si>
  <si>
    <t>***2023-2025 MODEL YEAR BUMPERS***</t>
  </si>
  <si>
    <t>BK0534FDT23F250</t>
  </si>
  <si>
    <t>BK0060FDT23F250</t>
  </si>
  <si>
    <t>BK0535FDT23F250</t>
  </si>
  <si>
    <t>BK2017FDT23F250</t>
  </si>
  <si>
    <t>BK2166FDT23F250</t>
  </si>
  <si>
    <t>BK2124FDT23F250</t>
  </si>
  <si>
    <t>BK2019FDT23F250</t>
  </si>
  <si>
    <t>BK2168FDT23F250</t>
  </si>
  <si>
    <t>BK0802FDT23F250</t>
  </si>
  <si>
    <t>BK1001FDT23F250</t>
  </si>
  <si>
    <t>BK2338FDT23F250</t>
  </si>
  <si>
    <t>BK0282FDT23F250</t>
  </si>
  <si>
    <t>BK1583FDT23F250</t>
  </si>
  <si>
    <t>BK1603FDT23F250</t>
  </si>
  <si>
    <t>BK1557FDT23F250</t>
  </si>
  <si>
    <t>BK1687FDT23F250</t>
  </si>
  <si>
    <t>BK1525FDT23F250</t>
  </si>
  <si>
    <t>BK1509FDT23F250</t>
  </si>
  <si>
    <t>BK1541FDT23F250</t>
  </si>
  <si>
    <t>BK1584FDT23F250</t>
  </si>
  <si>
    <t>BK1604FDT23F250</t>
  </si>
  <si>
    <t>BK1558FDT23F250</t>
  </si>
  <si>
    <t>BK1366FDT23F250</t>
  </si>
  <si>
    <t>BK1526FDT23F250</t>
  </si>
  <si>
    <t>BK1510FDT23F250</t>
  </si>
  <si>
    <t>BK1542FDT23F250</t>
  </si>
  <si>
    <t>BK1585FDT23F250</t>
  </si>
  <si>
    <t>BK1559FDT23F250</t>
  </si>
  <si>
    <t>BK1527FDT23F250</t>
  </si>
  <si>
    <t>BK1511FDT23F250</t>
  </si>
  <si>
    <t>BK1543FDT23F250</t>
  </si>
  <si>
    <t>***2023-2025 MODEL YEAR HEADLIGHT GUARDS***</t>
  </si>
  <si>
    <t>HK0809FDT23F250</t>
  </si>
  <si>
    <t>***2017-2025 MODEL YEAR***</t>
  </si>
  <si>
    <t>WK0595FDT17F250</t>
  </si>
  <si>
    <t>WK1491FDT17F250T</t>
  </si>
  <si>
    <t>WK0514FDT17F250H</t>
  </si>
  <si>
    <t>WK0595FDT17F250P</t>
  </si>
  <si>
    <t>WK0055FDT17F250</t>
  </si>
  <si>
    <t>WK0626FDT17F250E</t>
  </si>
  <si>
    <t>DK0100FDT17F250</t>
  </si>
  <si>
    <t>DK0598FDT17F250</t>
  </si>
  <si>
    <t>GF1382FDT17F250</t>
  </si>
  <si>
    <t>*COMPATIBLE With Year Range 2011-2025</t>
  </si>
  <si>
    <t>GT0536FDT11F250</t>
  </si>
  <si>
    <t>Firearm Mount Transfer Kit
Forward Facing Partition Mount
Without Mount Plate
*ONLY FOR USE WITH:
   -:SPT Single Prisoner Transport Partition</t>
  </si>
  <si>
    <t>QK0465FDT17F250</t>
  </si>
  <si>
    <t>QK2381FDT17F250</t>
  </si>
  <si>
    <t>*COMPATIBLE With Year Range 2017-2025</t>
  </si>
  <si>
    <t>TK2068FDT17F250</t>
  </si>
  <si>
    <t>Cargo Box
*FOR USE WITH:
   -Crew Cab</t>
  </si>
  <si>
    <t>TK1261FDT17F250</t>
  </si>
  <si>
    <t xml:space="preserve">Cargo Deck w/ Drawer Max
*NOT COMPATIBLE WITH: Rear Window Barrier
*INCLUDES REQUIRED:
   -Dual Poly Wall for Recessed Panel Front Partition
   -Radio Box
   -Lower Cargo Deck w/ Rubber Mat (TPA14053)
   -Crew Cab Storage Box
   -Door Panel 1pc Driver Side ONLY
   -Vent Wall Cover
*DOES NOT INCLUDE REQUIRED:
   -Recessed Panel Front Partition
</t>
  </si>
  <si>
    <t>TK1261FDT17F250RW</t>
  </si>
  <si>
    <t xml:space="preserve">Cargo Deck w/ Drawer Max
*COMPATIBLE WITH: Rear Window Barrier
*INCLUDES REQUIRED:
   -Dual Poly Wall for Recessed Panel Front Partition
   -Radio Box
   -Lower Cargo Deck w/ Rubber Mat (TPA14053)
   -Crew Cab Storage Box
   -Door Panel 1pc Driver Side ONLY
   -Vent Wall Cover
*DOES NOT INCLUDE REQUIRED:
   -Recessed Panel Front Partition
</t>
  </si>
  <si>
    <t>Upper Cargo Deck
*REQUIRED:
   -TK1261FDT17F250 Cargo Deck w/ Drawer Max NOT INCLUDED</t>
  </si>
  <si>
    <t>1D1388FDT17F250</t>
  </si>
  <si>
    <t>Rear Window Barrier 1pc</t>
  </si>
  <si>
    <t>TK1338FDT17F250</t>
  </si>
  <si>
    <t>CARGO DECK W/ DRAWER SUPER MAX
*INCLUDES REQUIRED:
   -Dual Poly Wall for Recessed Panel Front Partition
   -Radio Box
   -Lower Cargo Deck w/ Rubber Mat (TPA14053)
   -Crew Cab Storage Box
   -Door Panel 1pc Driver Side
   -Vent Wall Cover
*INCLUDES OPTIONAL ACCESSORIES:
   -Upper Cargo Deck
   -TPO Single Replacement Seat w/ Center Pull Seat Belt
   -Door Panel 1pc Passenger Side
   -Window Barrier 2pc Set Horizontal Bars
   -Rear Window Barrier 1pc</t>
  </si>
  <si>
    <t>PK0116TAH21</t>
  </si>
  <si>
    <t>PK0115TAH21</t>
  </si>
  <si>
    <t>PK0326TAH21</t>
  </si>
  <si>
    <t>PK0117TAH21</t>
  </si>
  <si>
    <t>PK0119TAH21</t>
  </si>
  <si>
    <t>PK0118TAH21</t>
  </si>
  <si>
    <t>PK0121TAH21</t>
  </si>
  <si>
    <t>PK0120TAH21</t>
  </si>
  <si>
    <t>PK0350TAH21</t>
  </si>
  <si>
    <t>#10VS C Horizontal Sliding Window
Coated Polycarbonate
With  Expanded Metal Window Security Screen
Flat Panel Partition</t>
  </si>
  <si>
    <t>PK0601TAH21</t>
  </si>
  <si>
    <t>PK0226TAH21</t>
  </si>
  <si>
    <t>#10VS C2 Horizontal Sliding Window
Coated Polycarbonate
With Slotted Polycarbonate Window Security Screen
Flat Panel Partition</t>
  </si>
  <si>
    <t>PK0225TAH21</t>
  </si>
  <si>
    <t>PK0374TAH21</t>
  </si>
  <si>
    <t>PK0373TAH21</t>
  </si>
  <si>
    <t>PK0517TAH21</t>
  </si>
  <si>
    <t>PK0420TAH21</t>
  </si>
  <si>
    <t>PK0369TAH21</t>
  </si>
  <si>
    <t>PK0398TAH21</t>
  </si>
  <si>
    <t>PK0355TAH21</t>
  </si>
  <si>
    <t>PK0439TAH21</t>
  </si>
  <si>
    <t>PK0419TAH21</t>
  </si>
  <si>
    <t>PK0602TAH21</t>
  </si>
  <si>
    <t>PK0228TAH21</t>
  </si>
  <si>
    <t>PK0227TAH21</t>
  </si>
  <si>
    <t>PK1164TAH21</t>
  </si>
  <si>
    <t>PK1163TAH21</t>
  </si>
  <si>
    <t>PK1170TAH21</t>
  </si>
  <si>
    <t>PK1166TAH21</t>
  </si>
  <si>
    <t>PK1160TAH21</t>
  </si>
  <si>
    <t>PK1157TAH21</t>
  </si>
  <si>
    <t>PK1155TAH21</t>
  </si>
  <si>
    <t>PK1152TAH21</t>
  </si>
  <si>
    <t>#10XL C Horizontal Sliding Window
Coated Polycarbonate
With  Expanded Metal Window Security Screen
XL Panel Partition</t>
  </si>
  <si>
    <t>PK1151TAH21</t>
  </si>
  <si>
    <t>PK1188TAH21</t>
  </si>
  <si>
    <t>PK1187TAH21</t>
  </si>
  <si>
    <t>1K0574TAH21WD</t>
  </si>
  <si>
    <t>1K0574TAH21FC</t>
  </si>
  <si>
    <t xml:space="preserve"> Single Prisoner Transport Partition
#6VS Stationary Window
Coated Polycarbonate
*FOR USE WITH:
   -Setina Full COVER Transport Seat</t>
  </si>
  <si>
    <t>1K0574TAH21FR</t>
  </si>
  <si>
    <t xml:space="preserve"> Single Prisoner Transport Partition
#6VS Stationary Window
Coated Polycarbonate
*FOR USE WITH:
   -Setina Full REPLACEMENT Transport Seat</t>
  </si>
  <si>
    <t>1K0576TAH21WD</t>
  </si>
  <si>
    <t>1K0576TAH21FC</t>
  </si>
  <si>
    <t>Single Prisoner Transport
#7VS Stationary Window
Vinyl Coated Expanded Metal
*FOR USE WITH:
   -Full COVER Transport Seat</t>
  </si>
  <si>
    <t>Single Prisoner Transport
#7VS  Stationary Window
Vinyl Coated Expanded Metal
*FOR USE WITH:
   -Full REPLACEMENT Transport Seat</t>
  </si>
  <si>
    <t>2K0035TAH21FPWD</t>
  </si>
  <si>
    <t>2K0035TAH21FPFR</t>
  </si>
  <si>
    <t>DPT Dual Prisoner Transport Partition
*FOR USE WITH:
   -FLAT PANEL Partition
   -Full REPLACEMENT Transport Seat</t>
  </si>
  <si>
    <t>2K0035TAH21RPWD</t>
  </si>
  <si>
    <t>2K0035TAH21RPND</t>
  </si>
  <si>
    <t>DPT Dual Prisoner Transport Partition
*FOR USE WITH:
   -RECESSED OR XL PANEL Partition
   -PARTIAL STOCK SEAT</t>
  </si>
  <si>
    <t>2K0035TAH21RPFR</t>
  </si>
  <si>
    <t>2K0035TAH21RPFC</t>
  </si>
  <si>
    <t>Cargo Area Parition
For 2nd Row Seat
#12VS Stationary Window
Vinyl Coated Expanded Metal</t>
  </si>
  <si>
    <t>PK0316TAH212ND</t>
  </si>
  <si>
    <t>Cargo Area Rear Partition
For 2nd Row Seat
#12VS Stationary Window
Coated Polycarbonate Partition</t>
  </si>
  <si>
    <t>***2021-2024 MODEL YEAR BUMPERS***</t>
  </si>
  <si>
    <t>PB400 Push Bumpers</t>
  </si>
  <si>
    <t>BK0534TAH21</t>
  </si>
  <si>
    <t>BK0060TAH21</t>
  </si>
  <si>
    <t>BK0535TAH21</t>
  </si>
  <si>
    <t>BK2017TAH21</t>
  </si>
  <si>
    <t>BK2166TAH21</t>
  </si>
  <si>
    <t>BK2124TAH21</t>
  </si>
  <si>
    <t>BK2019TAH21</t>
  </si>
  <si>
    <t>BK2168TAH21</t>
  </si>
  <si>
    <t>BK0802TAH21</t>
  </si>
  <si>
    <t>BK1001TAH21</t>
  </si>
  <si>
    <t>BK2338TAH21</t>
  </si>
  <si>
    <t>BK0282TAH21</t>
  </si>
  <si>
    <t>BK1583TAH21</t>
  </si>
  <si>
    <t>BK1603TAH21</t>
  </si>
  <si>
    <t>BK1557TAH21</t>
  </si>
  <si>
    <t>BK1687TAH21</t>
  </si>
  <si>
    <t>BK1525TAH21</t>
  </si>
  <si>
    <t>BK1509TAH21</t>
  </si>
  <si>
    <t>BK1541TAH21</t>
  </si>
  <si>
    <t>BK1584TAH21</t>
  </si>
  <si>
    <t>BK1604TAH21</t>
  </si>
  <si>
    <t>BK1558TAH21</t>
  </si>
  <si>
    <t>BK1366TAH21</t>
  </si>
  <si>
    <t>BK1526TAH21</t>
  </si>
  <si>
    <t>BK1510TAH21</t>
  </si>
  <si>
    <t>BK1542TAH21</t>
  </si>
  <si>
    <t>BK1585TAH21</t>
  </si>
  <si>
    <t>BK1559TAH21</t>
  </si>
  <si>
    <t>BK1527TAH21</t>
  </si>
  <si>
    <t>BK1511TAH21</t>
  </si>
  <si>
    <t>BK1543TAH21</t>
  </si>
  <si>
    <t>POLICE BIKE RACK</t>
  </si>
  <si>
    <t>OK1304TAH</t>
  </si>
  <si>
    <t>***2025 MODEL YEAR BUMPERS***</t>
  </si>
  <si>
    <t>BK0534TAH25</t>
  </si>
  <si>
    <t>BK0060TAH25</t>
  </si>
  <si>
    <t>BK0535TAH25</t>
  </si>
  <si>
    <t>BK2017TAH25</t>
  </si>
  <si>
    <t>BK2166TAH25</t>
  </si>
  <si>
    <t>BK2124TAH25</t>
  </si>
  <si>
    <t>BK2019TAH25</t>
  </si>
  <si>
    <t>BK2168TAH25</t>
  </si>
  <si>
    <t>BK0802TAH25</t>
  </si>
  <si>
    <t>BK1001TAH25</t>
  </si>
  <si>
    <t>BK2338TAH25</t>
  </si>
  <si>
    <t>BK0282TAH25</t>
  </si>
  <si>
    <t>BK1583TAH25</t>
  </si>
  <si>
    <t>BK1603TAH25</t>
  </si>
  <si>
    <t>BK1557TAH25</t>
  </si>
  <si>
    <t>BK1687TAH25</t>
  </si>
  <si>
    <t>BK1525TAH25</t>
  </si>
  <si>
    <t>BK1509TAH25</t>
  </si>
  <si>
    <t>BK1541TAH25</t>
  </si>
  <si>
    <t>BK1584TAH25</t>
  </si>
  <si>
    <t>BK1604TAH25</t>
  </si>
  <si>
    <t>BK1558TAH25</t>
  </si>
  <si>
    <t>BK1366TAH25</t>
  </si>
  <si>
    <t>BK1526TAH25</t>
  </si>
  <si>
    <t>BK1510TAH25</t>
  </si>
  <si>
    <t>BK1542TAH25</t>
  </si>
  <si>
    <t>BK1585TAH25</t>
  </si>
  <si>
    <t>BK1559TAH25</t>
  </si>
  <si>
    <t>BK1527TAH25</t>
  </si>
  <si>
    <t>BK1511TAH25</t>
  </si>
  <si>
    <t>BK1543TAH25</t>
  </si>
  <si>
    <t>FK0400TAH21</t>
  </si>
  <si>
    <t>FK0402TAH21</t>
  </si>
  <si>
    <t>FK2271TAH21</t>
  </si>
  <si>
    <t>HK0810TAH21</t>
  </si>
  <si>
    <t>HK0809TAH21</t>
  </si>
  <si>
    <t>HK2272TAH21</t>
  </si>
  <si>
    <t>HK2273TAH21</t>
  </si>
  <si>
    <t>PB10 Headlight Guard
Steel
With PB9S Wrap
Aluminum</t>
  </si>
  <si>
    <t>***2021-2025 MODEL YEAR***</t>
  </si>
  <si>
    <t>WK0595TAH21</t>
  </si>
  <si>
    <t>Window Barrier 
Polycarbonate
*FOR USE WITH:
   -Stock Door Panels
   -SETINA TPO Door Panels
-Aluminum Door Panels</t>
  </si>
  <si>
    <t>WK1491TAH21T</t>
  </si>
  <si>
    <t>Window Barrier 
Polycarbonate Tinted
*FOR USE WITH:
   -Stock Door Panels
   -SETINA TPO Door Panels
-Aluminum Door Panels</t>
  </si>
  <si>
    <t>Window Barrier 
Steel
Vertical
*FOR USE WITH:
   -Stock Door Panels
   -SETINA TPO Door Panels
-Aluminum Door Panels</t>
  </si>
  <si>
    <t>WK0514TAH21H</t>
  </si>
  <si>
    <t>Window Barrier 
Steel
Horizontal
*FOR USE WITH:
   -Stock Door Panels
   -SETINA TPO Door Panels
-Aluminum Door Panels</t>
  </si>
  <si>
    <t>WK0041TAH21</t>
  </si>
  <si>
    <t>Window Barrier Rear Hatch
Steel Horizontal
Rear Cargo Compartment</t>
  </si>
  <si>
    <t>WK0040TAH21</t>
  </si>
  <si>
    <t>Window Barrier 3-Piece Set
Steel Horizontal
Rear Cargo Compartment
*INCLUDES:
   -2 Side Windows
   -Rear Hatch</t>
  </si>
  <si>
    <t>WK0046TAH21</t>
  </si>
  <si>
    <t>Window Barrier VS 2-Piece Set
Side Windows
Steel Horizontal
Rear Cargo Compartment</t>
  </si>
  <si>
    <t>Door Panel
TPO Plastic Black
Installs Over OEM Door Panels</t>
  </si>
  <si>
    <t>K9 ULTIMATE 2 PACKAGE</t>
  </si>
  <si>
    <t>*INCLUDES Door Panels, Window Barriers &amp; Complete Interior Coverage</t>
  </si>
  <si>
    <t>*See "K9 ELECTRONICS" Page For Additional Electronics Options &amp; Charges</t>
  </si>
  <si>
    <t>CK2052TAH21</t>
  </si>
  <si>
    <t>Ultimate K9 2
K9 Exit points 2: Drivers Side &amp; Between Front Seats
Prisoner Passenger Side Exit
*COMPATIBLE WITH:
   -Cargo Box: Not Included
*NOT COMPATIBLE WITH
   -Rear Seat Delete Option Code ATZ</t>
  </si>
  <si>
    <t>CK2052TAH21-10</t>
  </si>
  <si>
    <t>Ultimate K9 2
K9 Exit points 2: 1 Drivers side &amp; 1 between front seats
Prisoner Passenger Side Exit
*FOR USE WITH:
   -10" Fan NOT INCLUDED
*COMPATIBLE WITH:
   -Cargo Box: Not Included
*NOT COMPATIBLE WITH
   -Rear Seat Delete Option Code ATZ</t>
  </si>
  <si>
    <t>*INCLUDES SPT Replacement Seat, Door Panels, Window Barriers &amp; Complete Interior Coverage</t>
  </si>
  <si>
    <t>CK2417TAH21</t>
  </si>
  <si>
    <t>Ultimate K9 2
K9 Exit points 2: Drivers Side &amp; Between Front Seats
Prisoner Passenger Side Exit
*COMPATIBLE WITH:
   -Cargo Box: Not Included
   -Rear Seat Delete Option Code ATZ
*INCLUDES:
   -Passenger Side Single Prisoner Replacement Seat</t>
  </si>
  <si>
    <t>CK2417TAH21-10</t>
  </si>
  <si>
    <t>Ultimate K9 2
K9 Exit points 2: 1 Drivers side &amp; 1 between front seats
Prisoner Passenger Side Exit
*FOR USE WITH:
   -10" Fan NOT INCLUDED
*COMPATIBLE WITH:
   -Cargo Box: Not Included
  -Rear Seat Delete Option Code ATZ
*INCLUDES:
   -Passenger Side Single Prisoner Replacement Seat</t>
  </si>
  <si>
    <t>CK2393TAH21</t>
  </si>
  <si>
    <t>K9 Full Containment Insert
Occupies Full Back Seat
*INCLUDES:
   -Front Sliding Door Partition
   -Rear Partition
   -Door Panels
   -Window Barriers</t>
  </si>
  <si>
    <t>CK2393TAH21-10</t>
  </si>
  <si>
    <t>K9 Full Containment Insert
Occupies Full Back Seat
*FOR USE WITH:
    -10" Fan NOT INCLUDED
*INCLUDES:
   -Front Sliding Door Partition
   -Rear Partition
   -Door Panels
   -Window Barriers</t>
  </si>
  <si>
    <t>GF1092TAH21</t>
  </si>
  <si>
    <t>GT0536TAH21</t>
  </si>
  <si>
    <t xml:space="preserve"> COVER STYLE TRANSPORT SEATING</t>
  </si>
  <si>
    <t>QK2410TAH21</t>
  </si>
  <si>
    <t>Full COVER Transport Seat
TPO Plastic
With Center Pull Seat Belts
*REQUIRED:
   -#12VS Stationary Window Cargo Area Rear Partition NOT INCLUDED
*ONLY COMPATIBLE WITH:
   -XL Panel Front Partitions
   -SPT Single Prisoner Transports Partitions</t>
  </si>
  <si>
    <t>QK0358TAH21</t>
  </si>
  <si>
    <t>Full COVER Transport Seat
TPO Plastic
Wth SETINA SMARTBELT SYSTEM
*REQUIRED:
   -#12VS Stationary Window Cargo Area Rear Partition NOT INCLUDED
*ONLY COMPATIBLE WITH:
   -XL Panel Front Partitions
   -SPT Single Prisoner Transports Partitions</t>
  </si>
  <si>
    <t>COVER STYLE TRANSPORT SEATING
*INCLUDES REQUIRED #12VS Stationary Window Cargo Area Rear Partition</t>
  </si>
  <si>
    <t>QK2412TAH21</t>
  </si>
  <si>
    <t>Full COVER Transport Seat
TPO Plastic
With Center Pull Seat Belts
*INCLUDES REQUIRED:
   -#12VS Stationary Window Vinyl Coated Expanded Metal Cargo Partition
*Seat Belt Retractors Pre-Installed to Save 30 Minutes of Install Time
*ONLY COMPATIBLE WITH:
   -XL Panel Front Partitions
   -SPT Single Prisoner Transports Partitions</t>
  </si>
  <si>
    <t>QK2414TAH21</t>
  </si>
  <si>
    <t>Full COVER Transport Seat
TPO Plastic
With Center Pull Seat Belts
*INCLUDES REQUIRED:
   -#12VS Stationary Window Coated Polycarbonate Cargo Partition
*Seat Belt Retractors Pre-Installed to Save 30 Minutes of Install Time
*ONLY COMPATIBLE WITH:
   -XL Panel Front Partitions
   -SPT Single Prisoner Transports Partitions</t>
  </si>
  <si>
    <t>QK2413TAH21</t>
  </si>
  <si>
    <t>Full COVER Transport Seat
TPO Plastic
Wth SETINA SMARTBELT SYSTEM
*INCLUDES REQUIRED:
   -#12VS Stationary Window Vinyl Coated Expanded Metal Cargo Partition
*Seat Belt Retractors Pre-Installed to Save 30 Minutes of Install Time
*ONLY COMPATIBLE WITH:
   -XL Panel Front Partitions
   -SPT Single Prisoner Transports Partitions</t>
  </si>
  <si>
    <t>QK2415TAH21</t>
  </si>
  <si>
    <t>Full COVER Transport Seat
TPO Plastic
Wth SETINA SMARTBELT SYSTEM
*INCLUDES REQUIRED:
   -#12VS Stationary Window Coated Polycarbonate Cargo Partition
*Seat Belt Retractors Pre-Installed to Save 30 Minutes of Install Time
*ONLY COMPATIBLE WITH:
   -XL Panel Front Partitions
   -SPT Single Prisoner Transports Partitions</t>
  </si>
  <si>
    <t>STAND ALONE OEM REPLACMENT CONTOUR TRANSPORT SEAT</t>
  </si>
  <si>
    <t>QK1375TAH21</t>
  </si>
  <si>
    <t>QK2023TAH21</t>
  </si>
  <si>
    <t>Full REPLACEMENT Transport Seat
TPO Plastic
With Center Pull Seat Belts
*INCLUDES REQUIRED:
   -#12VS Stationary Window Vinyl Coated Expanded Metal Cargo Partition
*Seat Belt Retractors Pre-Installed to Save 30 Minutes of Install Time</t>
  </si>
  <si>
    <t>QK2024TAH21</t>
  </si>
  <si>
    <t>Full REPLACEMENT Transport Seat
TPO Plastic
With Center Pull Seat Belts
*INCLUDES REQUIRED:
   -#12VS Stationary Window Coated Polycarbonate Cargo Partition
*Seat Belt Retractors Pre-Installed to Save 30 Minutes of Install Time</t>
  </si>
  <si>
    <t>QK0343TAH21</t>
  </si>
  <si>
    <t>Full REPLACEMENT Transport Seat
TPO Plastic
With SETINA SMARTBELT SYSTEM
*INCLUDES REQUIRED:
   -#12VS Stationary Window Vinyl Coated Expanded Metal Cargo Partition
*Seat Belt Retractors Pre-Installed to Save 30 Minutes of Install Time</t>
  </si>
  <si>
    <t>QK2041TAH21</t>
  </si>
  <si>
    <t>Full REPLACEMENT Transport Seat 
TPO Plastic
Wth SETINA SMARTBELT SYSTEM
*INCLUDES REQUIRED:
   -#12VS Stationary Window Coated Polycarbonate Cargo Partition
*Seat Belt Retractors Pre-Installed to Save 30 Minutes of Install Time</t>
  </si>
  <si>
    <t>***2021-2024 MODEL YEARS***</t>
  </si>
  <si>
    <t>***DUE TO FMVSS225 (CHILD RESTRAINT) REQUIREMENTS IN THE IVD (INCOMPLETE VEHICLE DOCUMENT), YOU WILL NEED THE CHILD RESTRAINT RETROFIT KIT (SOLD SEPERATELY)***</t>
  </si>
  <si>
    <t>QK0213TAH21</t>
  </si>
  <si>
    <t>QK0214TAH21</t>
  </si>
  <si>
    <t>*INCLUDES REQUIRED #12VS Cargo Area Rear Partition</t>
  </si>
  <si>
    <t>QK0215TAH21</t>
  </si>
  <si>
    <t>QK0281TAH21</t>
  </si>
  <si>
    <t>QK0217TAH21</t>
  </si>
  <si>
    <t>QK0308TAH21</t>
  </si>
  <si>
    <t>CHILD RESTRAINT RETROFIT KIT</t>
  </si>
  <si>
    <t>***DUE TO FMVSS225 (CHILD RESTRAINT) REQUIREMENTS IN THE IVD (INCOMPLETE VEHICLE DOCUMENT), YOU WILL NEED THE CHILD RESTRAINT RETROFIT KIT***</t>
  </si>
  <si>
    <t>QR2406TAH21</t>
  </si>
  <si>
    <t>Child Restraint Retrofit Kit</t>
  </si>
  <si>
    <t>***2021-2025 MODEL YEARS***</t>
  </si>
  <si>
    <t>QK2316TAH21</t>
  </si>
  <si>
    <t>CARGO BOX
TRUNK TRAYS</t>
  </si>
  <si>
    <t>TK0231TAH21</t>
  </si>
  <si>
    <t>TK0252TAH21</t>
  </si>
  <si>
    <t>TK0244TAH21</t>
  </si>
  <si>
    <t>TK0839TAH21</t>
  </si>
  <si>
    <t>TK0247TAH21</t>
  </si>
  <si>
    <t>TK0254TAH21</t>
  </si>
  <si>
    <t>TK0236TAH21</t>
  </si>
  <si>
    <t>TK0836TAH21</t>
  </si>
  <si>
    <t>CARGO BOX
TOA- Tray, Open Top With Anchor Points
BSE- Base Sliding With Electric Key Pad Lock</t>
  </si>
  <si>
    <t>TK0835TAH21</t>
  </si>
  <si>
    <t>TK0232TAH21</t>
  </si>
  <si>
    <t>TK0253TAH21</t>
  </si>
  <si>
    <t>TK0245TAH21</t>
  </si>
  <si>
    <t>TK0230TAH21</t>
  </si>
  <si>
    <t>TK0251TAH21</t>
  </si>
  <si>
    <t>TK0243TAH21</t>
  </si>
  <si>
    <t>TK0844TAH21</t>
  </si>
  <si>
    <t>TK0843TAH21</t>
  </si>
  <si>
    <t>TK0233TAH21</t>
  </si>
  <si>
    <t>TK0250TAH21</t>
  </si>
  <si>
    <t>TK0246TAH21</t>
  </si>
  <si>
    <t>TK0241TAH21</t>
  </si>
  <si>
    <t>TK0255TAH21</t>
  </si>
  <si>
    <t>TK0248TAH21</t>
  </si>
  <si>
    <t>TK0841TAH21</t>
  </si>
  <si>
    <t>TK0842TAH21</t>
  </si>
  <si>
    <t>TK0344TAH21</t>
  </si>
  <si>
    <t>Dual Drawer System
With Simplex Locks Qty 2</t>
  </si>
  <si>
    <t>TK1431TAH21</t>
  </si>
  <si>
    <t>Cargo Command Module
*Only Compatible with Dual Drawer System</t>
  </si>
  <si>
    <t>TK1320TAH21</t>
  </si>
  <si>
    <t>Elevated Single Drawer System
With Push Button Lock</t>
  </si>
  <si>
    <t>CARGO DECK</t>
  </si>
  <si>
    <t>*FOR USE WITHOUT #12VS CARGO PARTITION*</t>
  </si>
  <si>
    <t>TK1324TAH21</t>
  </si>
  <si>
    <t>Cargo Rear Deck</t>
  </si>
  <si>
    <t>TK1446TAH21</t>
  </si>
  <si>
    <t>Cargo Rear Deck Firearm Storage Tray</t>
  </si>
  <si>
    <t>TK1334TAH21</t>
  </si>
  <si>
    <t>TK1445TAH21</t>
  </si>
  <si>
    <t>TF0507TAH21</t>
  </si>
  <si>
    <t>Freestanding Cargo Box Bracket Kit
*COMPATIBLE WITH:
   -CARGO DECK: TK1324TAH21</t>
  </si>
  <si>
    <t>TK1487TAH21</t>
  </si>
  <si>
    <t>CARGO DECK w/ DRAWER MAX
*NOT COMPATIBLE WITH: SPT Partition
*INCLUDES REQUIRED:
   -Dual Poly Wall for Recessed Panel or XL Front Partition
   -Lower Cargo Deck w/ Rubber Mat
   -Storage Box
   -Door Panel 1pc Driver Side ONLY
*DOES NOT INCLUDE REQUIRED:
   -Recessed Panel or XL Front Partition
   -#12VS Rear Partition</t>
  </si>
  <si>
    <t>TPA18407</t>
  </si>
  <si>
    <t>Upper Cargo Deck
*REQUIRED:
   -TK1487TAH21 Cargo Deck w/ Drawer Max NOT INCLUDED</t>
  </si>
  <si>
    <t>1D1388TAH21</t>
  </si>
  <si>
    <t>TK1488TAH21</t>
  </si>
  <si>
    <t>CARGO DECK w/ DRAWER SUPER MAX
*NOT COMPATIBLE WITH: SPT Partition
*INCLUDES REQUIRED:
   -Dual Poly Wall for Recessed Panel or XL Front Partition
   -Lower Cargo Deck w/ Rubber Mat
   -Storage Box
   -Door Panel 1pc Driver Side ONLY
*INCLUDES OPTIONAL ACCESSORIES:
   -Upper Cargo Deck
   -TPO Single Replacement Seat w/ Center Pull Seat Belt
   -Door Panel Aluminum 1pc Passenger Side ONLY
   -Window Barrier 2pc Set Horizontal Bars
*DOES NOT INCLUDE REQUIRED:
   -Recessed Panel or XL Front Partition
   -#12VS Rear Partition</t>
  </si>
  <si>
    <t>TK1508TAH21</t>
  </si>
  <si>
    <t>TK0888TAH21</t>
  </si>
  <si>
    <t>PK1138BLE24</t>
  </si>
  <si>
    <t>PK1137BLE24</t>
  </si>
  <si>
    <t>PK1144BLE24</t>
  </si>
  <si>
    <t>PK1140BLE24</t>
  </si>
  <si>
    <t>PK1134BLE24</t>
  </si>
  <si>
    <t>PK1133BLE24</t>
  </si>
  <si>
    <t>PK1130BLE24</t>
  </si>
  <si>
    <t>PK1129BLE24</t>
  </si>
  <si>
    <t>PK1126BLE24</t>
  </si>
  <si>
    <t>PK1125BLE24</t>
  </si>
  <si>
    <t>PK1186BLE24</t>
  </si>
  <si>
    <t>PK1185BLE24</t>
  </si>
  <si>
    <t>PK0316BLE242ND</t>
  </si>
  <si>
    <t>BK0534BLE24</t>
  </si>
  <si>
    <t>BK0535BLE24</t>
  </si>
  <si>
    <t>BK2017BLE24</t>
  </si>
  <si>
    <t>BK2166BLE24</t>
  </si>
  <si>
    <t>BK2124BLE24</t>
  </si>
  <si>
    <t>BK2019BLE24</t>
  </si>
  <si>
    <t>BK2168BLE24</t>
  </si>
  <si>
    <t>BK0802BLE24</t>
  </si>
  <si>
    <t>BK1001BLE24</t>
  </si>
  <si>
    <t>BK2338BLE24</t>
  </si>
  <si>
    <t>BK0282BLE24</t>
  </si>
  <si>
    <t>BK1583BLE24</t>
  </si>
  <si>
    <t>BK1603BLE24</t>
  </si>
  <si>
    <t>BK1557BLE24</t>
  </si>
  <si>
    <t>BK1687BLE24</t>
  </si>
  <si>
    <t>BK1525BLE24</t>
  </si>
  <si>
    <t>BK1509BLE24</t>
  </si>
  <si>
    <t>BK1541BLE24</t>
  </si>
  <si>
    <t>BK1584BLE24</t>
  </si>
  <si>
    <t>BK1604BLE24</t>
  </si>
  <si>
    <t>BK1558BLE24</t>
  </si>
  <si>
    <t>BK1366BLE24</t>
  </si>
  <si>
    <t>BK1526BLE24</t>
  </si>
  <si>
    <t>BK1510BLE24</t>
  </si>
  <si>
    <t>BK1542BLE24</t>
  </si>
  <si>
    <t>BK1585BLE24</t>
  </si>
  <si>
    <t>BK1559BLE24</t>
  </si>
  <si>
    <t>BK1527BLE24</t>
  </si>
  <si>
    <t>BK1511BLE24</t>
  </si>
  <si>
    <t>BK1543BLE24</t>
  </si>
  <si>
    <t>WK0514BLE24</t>
  </si>
  <si>
    <t>Window Barrier
Steel
Vertical</t>
  </si>
  <si>
    <t>WK0514BLE24H</t>
  </si>
  <si>
    <t>WK0595BLE24</t>
  </si>
  <si>
    <t>DK0598BLE24</t>
  </si>
  <si>
    <t>DK0100BLE24</t>
  </si>
  <si>
    <t>*FOR USE WITH XL Partitions</t>
  </si>
  <si>
    <t>QK1576BLE24</t>
  </si>
  <si>
    <t>QK1224BLE24</t>
  </si>
  <si>
    <t>QK1684BLE24</t>
  </si>
  <si>
    <t>QK1620BLE24</t>
  </si>
  <si>
    <t>*REQUIRED Setina #12VS Rear Cargo Partition</t>
  </si>
  <si>
    <t>TK0126BLE24</t>
  </si>
  <si>
    <t>CARGO BOX - SINGLE DRAWER
DSK- Drawer, Sliding With Key Lock</t>
  </si>
  <si>
    <t>TK1693BLE24</t>
  </si>
  <si>
    <t>CARGO BOX - SINGLE DRAWER
DSK- Drawer, Sliding With RFID Card Lock</t>
  </si>
  <si>
    <t>TK0661BLE24</t>
  </si>
  <si>
    <t>PK0116CHT191500</t>
  </si>
  <si>
    <t>PK0115CHT191500</t>
  </si>
  <si>
    <t>PK0326CHT191500</t>
  </si>
  <si>
    <t>PK0117CHT191500</t>
  </si>
  <si>
    <t>PK0119CHT191500</t>
  </si>
  <si>
    <t>PK0118CHT191500</t>
  </si>
  <si>
    <t>PK0121CHT191500</t>
  </si>
  <si>
    <t>PK0120CHT191500</t>
  </si>
  <si>
    <t>PK0350CHT191500</t>
  </si>
  <si>
    <t>PK0601CHT191500</t>
  </si>
  <si>
    <t>PK0226CHT191500</t>
  </si>
  <si>
    <t>PK0225CHT191500</t>
  </si>
  <si>
    <t>PK0374CHT191500</t>
  </si>
  <si>
    <t>PK0373CHT191500</t>
  </si>
  <si>
    <t>PK0517CHT191500</t>
  </si>
  <si>
    <t>PK0420CHT191500</t>
  </si>
  <si>
    <t>PK0369CHT191500</t>
  </si>
  <si>
    <t>PK0398CHT191500</t>
  </si>
  <si>
    <t>PK0355CHT191500</t>
  </si>
  <si>
    <t>PK0439CHT191500</t>
  </si>
  <si>
    <t>PK0419CHT191500</t>
  </si>
  <si>
    <t>PK0602CHT191500</t>
  </si>
  <si>
    <t>PK0228CHT191500</t>
  </si>
  <si>
    <t>PK0227CHT191500</t>
  </si>
  <si>
    <t>PK1164CHT191500</t>
  </si>
  <si>
    <t>PK1163CHT191500</t>
  </si>
  <si>
    <t>PK1170CHT191500</t>
  </si>
  <si>
    <t>PK1166CHT191500</t>
  </si>
  <si>
    <t>PK1160CHT191500</t>
  </si>
  <si>
    <t>PK1157CHT191500</t>
  </si>
  <si>
    <t>PK1156CHT191500</t>
  </si>
  <si>
    <t>PK1155CHT191500</t>
  </si>
  <si>
    <t>PK1152CHT191500</t>
  </si>
  <si>
    <t>PK1151CHT191500</t>
  </si>
  <si>
    <t>PK1188CHT191500</t>
  </si>
  <si>
    <t>PK1187CHT191500</t>
  </si>
  <si>
    <t>1K0574CHT191500</t>
  </si>
  <si>
    <t>Single Prisoner Transport Partition
#6VS Stationary Window
Coated Polycarbonate 
*FOR USE WITH Stock Seat ONLY</t>
  </si>
  <si>
    <t>1K0576CHT191500</t>
  </si>
  <si>
    <t>Single PRISONER Transport Parition
#7VS Stationary Window
Vinyl Coated Expanded Metal
*FOR USE WITH Stock Seat ONLY</t>
  </si>
  <si>
    <t>2K0035CHT191500RPWD</t>
  </si>
  <si>
    <t>DPT Dual Prisoner Transport Partition
*FOR USE WITH:
   - Crew Cab
   - RECESSED OR XL PANEL Partition
   - Full STOCK Seat
*NOT COMPATIBLE WITH:
  -Rear Window Barrier</t>
  </si>
  <si>
    <t>2K0035CHT191500RPWDRW</t>
  </si>
  <si>
    <t>DPT Dual Prisoner Transport Partition
*FOR USE WITH:
   - Crew Cab
   - RECESSED OR XL PANEL Partition
   - Full STOCK Seat
  -Rear Window Barrier *SOLD SEPERATELY*</t>
  </si>
  <si>
    <t>**2019-2022 Model Year Push Bumpers**</t>
  </si>
  <si>
    <t>VIN REQUIRED FOR M/Y 2019</t>
  </si>
  <si>
    <t>BK0534CHT191500</t>
  </si>
  <si>
    <t>BK0535CHT191500</t>
  </si>
  <si>
    <t>BK2017CHT191500</t>
  </si>
  <si>
    <t>BK2166CHT191500</t>
  </si>
  <si>
    <t>BK2124CHT191500</t>
  </si>
  <si>
    <t>BK2019CHT191500</t>
  </si>
  <si>
    <t>BK2168CHT191500</t>
  </si>
  <si>
    <t>BK0802CHT191500</t>
  </si>
  <si>
    <t>BK1001CHT191500</t>
  </si>
  <si>
    <t>BK2338CHT191500</t>
  </si>
  <si>
    <t>BK0282CHT191500</t>
  </si>
  <si>
    <t>BK1583CHT191500</t>
  </si>
  <si>
    <t>BK1603CHT191500</t>
  </si>
  <si>
    <t>BK1557CHT191500</t>
  </si>
  <si>
    <t>BK1687CHT191500</t>
  </si>
  <si>
    <t>BK1525CHT191500</t>
  </si>
  <si>
    <t>BK1509CHT191500</t>
  </si>
  <si>
    <t>BK1541CHT191500</t>
  </si>
  <si>
    <t>BK1584CHT191500</t>
  </si>
  <si>
    <t>BK1604CHT191500</t>
  </si>
  <si>
    <t>BK1558CHT191500</t>
  </si>
  <si>
    <t>BK1366CHT191500</t>
  </si>
  <si>
    <t>BK1526CHT191500</t>
  </si>
  <si>
    <t>BK1510CHT191500</t>
  </si>
  <si>
    <t>BK1542CHT191500</t>
  </si>
  <si>
    <t>BK1585CHT191500</t>
  </si>
  <si>
    <t>BK1559CHT191500</t>
  </si>
  <si>
    <t>BK1527CHT191500</t>
  </si>
  <si>
    <t>BK1511CHT191500</t>
  </si>
  <si>
    <t>BK1543CHT191500</t>
  </si>
  <si>
    <t>**2019-2022 Model Year Headlight Guards**</t>
  </si>
  <si>
    <t>HK0809CHT191500</t>
  </si>
  <si>
    <t xml:space="preserve">PB8 Headlight Guard
Double Loop
</t>
  </si>
  <si>
    <t>**2022-2025 Model Year Push Bumpers**</t>
  </si>
  <si>
    <t>VIN REQUIRED FOR M/Y 2022</t>
  </si>
  <si>
    <t>BK0534CHT221500</t>
  </si>
  <si>
    <t>BK0535CHT221500</t>
  </si>
  <si>
    <t>BK2017CHT221500</t>
  </si>
  <si>
    <t>BK2166CHT221500</t>
  </si>
  <si>
    <t>BK2124CHT221500</t>
  </si>
  <si>
    <t>BK2019CHT221500</t>
  </si>
  <si>
    <t>BK2168CHT221500</t>
  </si>
  <si>
    <t>BK0802CHT221500</t>
  </si>
  <si>
    <t>BK1001CHT221500</t>
  </si>
  <si>
    <t>BK2338CHT221500</t>
  </si>
  <si>
    <t>BK0282CHT221500</t>
  </si>
  <si>
    <t>BK1583CHT221500</t>
  </si>
  <si>
    <t>BK1603CHT221500</t>
  </si>
  <si>
    <t>BK1557CHT221500</t>
  </si>
  <si>
    <t>BK1687CHT221500</t>
  </si>
  <si>
    <t>BK1525CHT221500</t>
  </si>
  <si>
    <t>BK1509CHT221500</t>
  </si>
  <si>
    <t>BK1541CHT221500</t>
  </si>
  <si>
    <t>BK1584CHT221500</t>
  </si>
  <si>
    <t>BK1604CHT221500</t>
  </si>
  <si>
    <t>BK1558CHT221500</t>
  </si>
  <si>
    <t>BK1366CHT221500</t>
  </si>
  <si>
    <t>BK1526CHT221500</t>
  </si>
  <si>
    <t>BK1510CHT221500</t>
  </si>
  <si>
    <t>BK1542CHT221500</t>
  </si>
  <si>
    <t>BK1585CHT221500</t>
  </si>
  <si>
    <t>BK1559CHT221500</t>
  </si>
  <si>
    <t>BK1527CHT221500</t>
  </si>
  <si>
    <t>BK1511CHT221500</t>
  </si>
  <si>
    <t>BK1543CHT221500</t>
  </si>
  <si>
    <t>**2022-2025 Model Year Fender Wraps*</t>
  </si>
  <si>
    <t>FK0402CHT221500</t>
  </si>
  <si>
    <t>FK2271CHT221500</t>
  </si>
  <si>
    <t>**2022-2025 Model Year Headlight Guards**</t>
  </si>
  <si>
    <t>HK0809CHT221500</t>
  </si>
  <si>
    <t>HK2272CHT221500</t>
  </si>
  <si>
    <t>HK2273CHT221500</t>
  </si>
  <si>
    <t>WK0595CHT191500</t>
  </si>
  <si>
    <t>Window Barrier 
Polycarbonate
*FOR USE WITH Stock or Aluminum Door Panel</t>
  </si>
  <si>
    <t>WK1491CHT191500T</t>
  </si>
  <si>
    <t>Window Barrier 
Polycarbonate Tinted
*FOR USE WITH Stock or Aluminum Door Panel</t>
  </si>
  <si>
    <t>WK0514CHT191500</t>
  </si>
  <si>
    <t>Window Barrier 
Steel Vertical
*FOR USE WITH Stock or Aluminum Door Panel</t>
  </si>
  <si>
    <t>WK0514CHT191500H</t>
  </si>
  <si>
    <t>Window Barrier 
Steel Horizontal
*FOR USE WITH Stock or Aluminum Door Panel</t>
  </si>
  <si>
    <t>WK0595CHT191500P</t>
  </si>
  <si>
    <t>WK0055CHT191500</t>
  </si>
  <si>
    <t>DK0598CHT191500</t>
  </si>
  <si>
    <t>GF1382CHT191500</t>
  </si>
  <si>
    <t>T-Rail Mount Kit
Free Standing</t>
  </si>
  <si>
    <t>TK1459CHT191500</t>
  </si>
  <si>
    <t xml:space="preserve">CARGO DECK w/ DRAWER MAX
*NOT COMPATIBLE WITH: Rear Window Barrier
*NOT COMPATIBLE WITH: SPT Partition
*INCLUDES REQUIRED:
   -Dual Poly Wall for Recessed Panel Front Partition
   -Radio Box
   -Lower Cargo Deck w/ Rubber Mat
   -Storage Box
   -TPO Single Replacement Seat w/ Center Pull Seat Belt
   -Door Panel Aluminum 2pc Set
*DOES NOT INCLUDE REQUIRED:
   -Recessed Panel Front Partition
</t>
  </si>
  <si>
    <t>TK1459CHT191500RW</t>
  </si>
  <si>
    <t xml:space="preserve">CARGO DECK w/ DRAWER MAX
*COMPATIBLE WITH: Rear Window Barrier
*NOT COMPATIBLE WITH: Double Cab
*INCLUDES REQUIRED:
   -Dual Poly Wall for Recessed Panel Front Partition
   -Radio Box
   -Lower Cargo Deck w/ Rubber Mat
   -Storage Box
   -TPO Single Replacement Seat w/ Center Pull Seat Belt
   -Door Panel Aluminum 2pc Set
*DOES NOT INCLUDE REQUIRED:
   -Recessed Panel Front Partition
</t>
  </si>
  <si>
    <t>TPA15086</t>
  </si>
  <si>
    <t>Upper Cargo Deck
*REQUIRED:
   -TK1459CHT191500RW Cargo Deck w/ Drawer Max NOT INCLUDED</t>
  </si>
  <si>
    <t>TK1339CHT191500</t>
  </si>
  <si>
    <t xml:space="preserve">CARGO DECK w/ DRAWER SUPER MAX
*COMPATIBLE WITH: Rear Window Barrier
*NOT COMPATIBLE WITH: Double Cab
*INCLUDES REQUIRED:
   -Dual Poly Wall for Recessed Panel Front Partition
   -Radio Box
   -Lower Cargo Deck w/ Rubber Mat
   -Storage Box
   -TPO Single Replacement Seat w/ Center Pull Seat Belt
   -Door Panel Aluminum 2pc Set
*INCLUDES OPTIONAL ACCESSORIES:
   -Upper Cargo Deck
   -Window Barrier 2pc Set Horizontal Bars
   -Rear Window Barrier 1pc
*DOES NOT INCLUDE REQUIRED:
   -Recessed Panel Front Partition
</t>
  </si>
  <si>
    <t>PK0116CHT202500</t>
  </si>
  <si>
    <t>PK0115CHT202500</t>
  </si>
  <si>
    <t>PK0326CHT202500</t>
  </si>
  <si>
    <t>PK0117CHT202500</t>
  </si>
  <si>
    <t>PK0119CHT202500</t>
  </si>
  <si>
    <t>PK0118CHT202500</t>
  </si>
  <si>
    <t>PK0121CHT202500</t>
  </si>
  <si>
    <t>PK0120CHT202500</t>
  </si>
  <si>
    <t>PK0350CHT202500</t>
  </si>
  <si>
    <t>PK0601CHT202500</t>
  </si>
  <si>
    <t>PK0226CHT202500</t>
  </si>
  <si>
    <t>PK0225CHT202500</t>
  </si>
  <si>
    <t>PK0374CHT202500</t>
  </si>
  <si>
    <t>PK0373CHT202500</t>
  </si>
  <si>
    <t>PK0517CHT202500</t>
  </si>
  <si>
    <t>PK0420CHT202500</t>
  </si>
  <si>
    <t>PK0369CHT202500</t>
  </si>
  <si>
    <t>PK0398CHT202500</t>
  </si>
  <si>
    <t>PK0355CHT202500</t>
  </si>
  <si>
    <t>PK0439CHT202500</t>
  </si>
  <si>
    <t>PK0419CHT202500</t>
  </si>
  <si>
    <t>PK0602CHT202500</t>
  </si>
  <si>
    <t>PK0228CHT202500</t>
  </si>
  <si>
    <t>PK0227CHT202500</t>
  </si>
  <si>
    <t>1K0574CHT202500WD</t>
  </si>
  <si>
    <t>Single Prisoner Transport Partition
#6VS Stationary Window
Coated Polycarbonate 
*ONLY FOR USE WITH:
   -Full Stock Seat</t>
  </si>
  <si>
    <t>1K0576CHT202500WD</t>
  </si>
  <si>
    <t>Single PRISONER Transport Parition
#7VS Stationary Window
Vinyl Coated Expanded Metal
*ONLY FOR USE WITH:
   -Full Stock Seat</t>
  </si>
  <si>
    <t>2K0035CHT202500RP</t>
  </si>
  <si>
    <t>**2020-2023 Model Year Push Bumpers**</t>
  </si>
  <si>
    <t>BK0534CHT202500</t>
  </si>
  <si>
    <t>BK0535CHT202500</t>
  </si>
  <si>
    <t>PB400 Winch-Ready Push Bumpers</t>
  </si>
  <si>
    <t>*SPECIAL ORDER ITEM, CANNOT BE CANCELLED &amp; NON RETURNABLE*
*COMPATIBLE WITH MID-FRAME WINCH*</t>
  </si>
  <si>
    <t>BK0060CHT202500</t>
  </si>
  <si>
    <t>BK2017CHT202500</t>
  </si>
  <si>
    <t>BK2166CHT202500</t>
  </si>
  <si>
    <t>BK2124CHT202500</t>
  </si>
  <si>
    <t>BK2019CHT202500</t>
  </si>
  <si>
    <t>BK2168CHT202500</t>
  </si>
  <si>
    <t>BK0802CHT202500</t>
  </si>
  <si>
    <t>BK1001CHT202500</t>
  </si>
  <si>
    <t>BK2338CHT202500</t>
  </si>
  <si>
    <t>BK0282CHT202500</t>
  </si>
  <si>
    <t>BK1583CHT202500</t>
  </si>
  <si>
    <t>BK1603CHT202500</t>
  </si>
  <si>
    <t>BK1557CHT202500</t>
  </si>
  <si>
    <t>BK1687CHT202500</t>
  </si>
  <si>
    <t>BK1525CHT202500</t>
  </si>
  <si>
    <t>BK1509CHT202500</t>
  </si>
  <si>
    <t>BK1541CHT202500</t>
  </si>
  <si>
    <t>BK1584CHT202500</t>
  </si>
  <si>
    <t>BK1604CHT202500</t>
  </si>
  <si>
    <t>BK1558CHT202500</t>
  </si>
  <si>
    <t>BK1366CHT202500</t>
  </si>
  <si>
    <t>BK1526CHT202500</t>
  </si>
  <si>
    <t>BK1510CHT202500</t>
  </si>
  <si>
    <t>BK1542CHT202500</t>
  </si>
  <si>
    <t>BK1585CHT202500</t>
  </si>
  <si>
    <t>BK1559CHT202500</t>
  </si>
  <si>
    <t>BK1527CHT202500</t>
  </si>
  <si>
    <t>BK1511CHT202500</t>
  </si>
  <si>
    <t>BK1543CHT202500</t>
  </si>
  <si>
    <t>HK0809CHT202500</t>
  </si>
  <si>
    <t>**2024-2025 Model Year Push Bumpers**</t>
  </si>
  <si>
    <t>BK0534CHT242500</t>
  </si>
  <si>
    <t>BK0535CHT242500</t>
  </si>
  <si>
    <t>BK0060CHT242500</t>
  </si>
  <si>
    <t>BK2017CHT242500</t>
  </si>
  <si>
    <t>BK2166CHT242500</t>
  </si>
  <si>
    <t>BK2124CHT242500</t>
  </si>
  <si>
    <t>BK2019CHT242500</t>
  </si>
  <si>
    <t>BK2168CHT242500</t>
  </si>
  <si>
    <t>BK0802CHT242500</t>
  </si>
  <si>
    <t>BK1001CHT242500</t>
  </si>
  <si>
    <t>BK2338CHT242500</t>
  </si>
  <si>
    <t>BK0282CHT242500</t>
  </si>
  <si>
    <t>BK1583CHT242500</t>
  </si>
  <si>
    <t>BK1603CHT242500</t>
  </si>
  <si>
    <t>BK1557CHT242500</t>
  </si>
  <si>
    <t>BK1687CHT242500</t>
  </si>
  <si>
    <t>BK1525CHT242500</t>
  </si>
  <si>
    <t>BK1509CHT242500</t>
  </si>
  <si>
    <t>BK1541CHT242500</t>
  </si>
  <si>
    <t>BK1584CHT242500</t>
  </si>
  <si>
    <t>BK1604CHT242500</t>
  </si>
  <si>
    <t>BK1558CHT242500</t>
  </si>
  <si>
    <t>BK1366CHT242500</t>
  </si>
  <si>
    <t>BK1526CHT242500</t>
  </si>
  <si>
    <t>BK1510CHT242500</t>
  </si>
  <si>
    <t>BK1542CHT242500</t>
  </si>
  <si>
    <t>BK1585CHT242500</t>
  </si>
  <si>
    <t>BK1559CHT242500</t>
  </si>
  <si>
    <t>BK1527CHT242500</t>
  </si>
  <si>
    <t>BK1511CHT242500</t>
  </si>
  <si>
    <t>BK1543CHT242500</t>
  </si>
  <si>
    <t>**2024-2025 Model Year Headlight Guards**</t>
  </si>
  <si>
    <t>HK0809CHT242500</t>
  </si>
  <si>
    <t>**2020-2025 Model Year**</t>
  </si>
  <si>
    <t>WK0595CHT202500</t>
  </si>
  <si>
    <t>Window Barrier 
Polycarbonate
*FOR USE WITH:
   -All Door Panels</t>
  </si>
  <si>
    <t>WK0514CHT202500</t>
  </si>
  <si>
    <t>Window Barrier 
Steel
Vertical
*FOR USE WITH:
   -All Door Panels</t>
  </si>
  <si>
    <t>WK0514CHT202500H</t>
  </si>
  <si>
    <t>Window Barrier 
Steel
Horizontal
*FOR USE WITH:
   -All Door Panels</t>
  </si>
  <si>
    <t>WK0595CHT202500P</t>
  </si>
  <si>
    <t>WK0055CHT202500</t>
  </si>
  <si>
    <t>DK0598CHT202500</t>
  </si>
  <si>
    <t>FREE STANDING FIREARM MOUNT SYSTEM</t>
  </si>
  <si>
    <t>*INCLUDES Free Standing Mount ONLY</t>
  </si>
  <si>
    <t>GF1382CHT202500</t>
  </si>
  <si>
    <t>*COMPATIBLE With Year Range 2010-2025</t>
  </si>
  <si>
    <t>GT0536CHT10</t>
  </si>
  <si>
    <t>TK1459CHT202500</t>
  </si>
  <si>
    <t>TK1459CHT202500RW</t>
  </si>
  <si>
    <t>Upper Cargo Deck
*REQUIRED:
   -TK1459CHT202500RW Cargo Deck w/ Drawer Max NOT INCLUDED</t>
  </si>
  <si>
    <t>TK1339CHT202500</t>
  </si>
  <si>
    <t>PK0116DUR11</t>
  </si>
  <si>
    <t>PK0115DUR11</t>
  </si>
  <si>
    <t>PK0326DUR11</t>
  </si>
  <si>
    <t>PK0117DUR11</t>
  </si>
  <si>
    <t>PK0119DUR11</t>
  </si>
  <si>
    <t>PK0118DUR11</t>
  </si>
  <si>
    <t>PK0121DUR11</t>
  </si>
  <si>
    <t>PK0120DUR11</t>
  </si>
  <si>
    <t>PK0350DUR11</t>
  </si>
  <si>
    <t>PK0601DUR11</t>
  </si>
  <si>
    <t>PK0226DUR11</t>
  </si>
  <si>
    <t>PK0225DUR11</t>
  </si>
  <si>
    <t>PK0374DUR11</t>
  </si>
  <si>
    <t>PK0373DUR11</t>
  </si>
  <si>
    <t>PK0517DUR11</t>
  </si>
  <si>
    <t>PK0420DUR11</t>
  </si>
  <si>
    <t>PK0369DUR11</t>
  </si>
  <si>
    <t>PK0398DUR11</t>
  </si>
  <si>
    <t>PK0355DUR11</t>
  </si>
  <si>
    <t>PK0439DUR11</t>
  </si>
  <si>
    <t>PK0419DUR11</t>
  </si>
  <si>
    <t>PK0602DUR11</t>
  </si>
  <si>
    <t>PK0228DUR11</t>
  </si>
  <si>
    <t>PK0227DUR11</t>
  </si>
  <si>
    <t>PK1138DUR11</t>
  </si>
  <si>
    <t>PK1137DUR11</t>
  </si>
  <si>
    <t>PK1170DUR11</t>
  </si>
  <si>
    <t>PK1140DUR11</t>
  </si>
  <si>
    <t>PK1134DUR11</t>
  </si>
  <si>
    <t>PK1133DUR11</t>
  </si>
  <si>
    <t>PK1129DUR11</t>
  </si>
  <si>
    <t>PK1126DUR11</t>
  </si>
  <si>
    <t>PK1125DUR11</t>
  </si>
  <si>
    <t>PK1186DUR11</t>
  </si>
  <si>
    <t>PK1185DUR11</t>
  </si>
  <si>
    <t>1K0574DUR11</t>
  </si>
  <si>
    <t>Single Prisoner Transport Partition
#6VS Stationary Window
Coated Polycarbonate 
FOR USE WITH:
   - Full Stock Seat</t>
  </si>
  <si>
    <t>1K0576DUR11</t>
  </si>
  <si>
    <t>Single PRISONER Transport Parition
#7VS Stationary Window
Vinyl Coated Expanded Metal
FOR USE WITH:
   - Full Stock Seat</t>
  </si>
  <si>
    <t>1K0574DUR11FSR</t>
  </si>
  <si>
    <t>Single Prisoner Transport Partition
#6VS Stationary Window
Coated Polycarbonate 
FOR USE WITH:
   - Setina Replacement Seat</t>
  </si>
  <si>
    <t>Single PRISONER Transport Parition
#7VS Stationary Window
Vinyl Coated Expanded Metal
FOR USE WITH:
   - Setina Replacement Seat</t>
  </si>
  <si>
    <t>2K0035DUR11RP</t>
  </si>
  <si>
    <t>2K0035DUR11RPSAS</t>
  </si>
  <si>
    <t>DPT Dual Prisoner Transport Partition
*FOR USE WITH:
   -RECESSED OR XL PANEL Partition
   -Full REPLACEMENT Transport Seat</t>
  </si>
  <si>
    <t>Cargo Area Parition
#12VS Stationary Window
Vinyl Coated Expanded Metal
*FOR USE WITH:
   -2nd Row Seat</t>
  </si>
  <si>
    <t>PK0316DUR112ND</t>
  </si>
  <si>
    <t>Cargo Area Rear Partition
#12VS Stationary Window
Coated Polycarbonate Partition 
*FOR USE WITH:
   -2nd Row Seat</t>
  </si>
  <si>
    <t>***2011-2020 MODEL YEAR BUMPERS***</t>
  </si>
  <si>
    <t>BK0534DUR11</t>
  </si>
  <si>
    <t>BK0535DUR11</t>
  </si>
  <si>
    <t>BK2017DUR11</t>
  </si>
  <si>
    <t>BK2166DUR11</t>
  </si>
  <si>
    <t>BK2124DUR11</t>
  </si>
  <si>
    <t>BK2019DUR11</t>
  </si>
  <si>
    <t>BK2168DUR11</t>
  </si>
  <si>
    <t>BK0802DUR11</t>
  </si>
  <si>
    <t>BK1001DUR11</t>
  </si>
  <si>
    <t>BK2338DUR11</t>
  </si>
  <si>
    <t>BK0282DUR11</t>
  </si>
  <si>
    <t>BK1583DUR11</t>
  </si>
  <si>
    <t>BK1603DUR11</t>
  </si>
  <si>
    <t>BK1557DUR11</t>
  </si>
  <si>
    <t>BK1687DUR11</t>
  </si>
  <si>
    <t>BK1525DUR11</t>
  </si>
  <si>
    <t>BK1509DUR11</t>
  </si>
  <si>
    <t>BK1541DUR11</t>
  </si>
  <si>
    <t>BK1584DUR11</t>
  </si>
  <si>
    <t>BK1604DUR11</t>
  </si>
  <si>
    <t>BK1558DUR11</t>
  </si>
  <si>
    <t>BK1366DUR11</t>
  </si>
  <si>
    <t>BK1526DUR11</t>
  </si>
  <si>
    <t>BK1510DUR11</t>
  </si>
  <si>
    <t>BK1542DUR11</t>
  </si>
  <si>
    <t>PB450LR4 LIGHT-READY
With WHELEN ION'</t>
  </si>
  <si>
    <t>BK1585DUR11</t>
  </si>
  <si>
    <t>BK1559DUR11</t>
  </si>
  <si>
    <t>BK1527DUR11</t>
  </si>
  <si>
    <t>BK1511DUR11</t>
  </si>
  <si>
    <t>BK1543DUR11</t>
  </si>
  <si>
    <t>OK1304DUR</t>
  </si>
  <si>
    <t>***2011-2020 MODEL YEAR FENDER WRAPS***</t>
  </si>
  <si>
    <t>FK0400DUR11</t>
  </si>
  <si>
    <t>FK0402DUR11</t>
  </si>
  <si>
    <t>FK2271DUR11</t>
  </si>
  <si>
    <t>***2011-2020 MODEL YEAR HEADLIGHT GUARDS***</t>
  </si>
  <si>
    <t>HK0810DUR11</t>
  </si>
  <si>
    <t>HK0809DUR11</t>
  </si>
  <si>
    <t>HK2272DUR11</t>
  </si>
  <si>
    <t>HK2273DUR11</t>
  </si>
  <si>
    <t>***2021-2026 MODEL YEAR BUMPERS***</t>
  </si>
  <si>
    <t>BK0534DUR21</t>
  </si>
  <si>
    <t>BK0535DUR21</t>
  </si>
  <si>
    <t>BK2017DUR21</t>
  </si>
  <si>
    <t>BK2166DUR21</t>
  </si>
  <si>
    <t>BK2124DUR21</t>
  </si>
  <si>
    <t>BK2019DUR21</t>
  </si>
  <si>
    <t>BK2168DUR21</t>
  </si>
  <si>
    <t>BK0802DUR21</t>
  </si>
  <si>
    <t>BK1001DUR21</t>
  </si>
  <si>
    <t>BK2338DUR21</t>
  </si>
  <si>
    <t>BK0282DUR21</t>
  </si>
  <si>
    <t>BK1583DUR21</t>
  </si>
  <si>
    <t>BK1603DUR21</t>
  </si>
  <si>
    <t>BK1557DUR21</t>
  </si>
  <si>
    <t>BK1687DUR21</t>
  </si>
  <si>
    <t>BK1525DUR21</t>
  </si>
  <si>
    <t>BK1509DUR21</t>
  </si>
  <si>
    <t>BK1541DUR21</t>
  </si>
  <si>
    <t>BK1584DUR21</t>
  </si>
  <si>
    <t>BK1604DUR21</t>
  </si>
  <si>
    <t>BK1558DUR21</t>
  </si>
  <si>
    <t>BK1366DUR21</t>
  </si>
  <si>
    <t>BK1526DUR21</t>
  </si>
  <si>
    <t>BK1510DUR21</t>
  </si>
  <si>
    <t>BK1542DUR21</t>
  </si>
  <si>
    <t>BK1585DUR21</t>
  </si>
  <si>
    <t>BK1559DUR21</t>
  </si>
  <si>
    <t>BK1527DUR21</t>
  </si>
  <si>
    <t>BK1511DUR21</t>
  </si>
  <si>
    <t>BK1543DUR21</t>
  </si>
  <si>
    <t>***2021-2026 MODEL YEAR FENDER WRAPS***</t>
  </si>
  <si>
    <t>FK0400DUR21</t>
  </si>
  <si>
    <t>FK0402DUR21</t>
  </si>
  <si>
    <t>FK2271DUR21</t>
  </si>
  <si>
    <t>***2021-2026 MODEL YEAR HEADLIGHT GUARDS***</t>
  </si>
  <si>
    <t>HK0810DUR21</t>
  </si>
  <si>
    <t>HK0809DUR21</t>
  </si>
  <si>
    <t>HK2272DUR21</t>
  </si>
  <si>
    <t>HK2273DUR21</t>
  </si>
  <si>
    <t>***2011-2026 MODEL YEAR***</t>
  </si>
  <si>
    <t>WK0595DUR11</t>
  </si>
  <si>
    <t>Window Barrier 
Polycarbonate
*FOR USE WITH:
   -Stock Door Panels
   -SETINA TPO Door Panels</t>
  </si>
  <si>
    <t>WK1491DUR11T</t>
  </si>
  <si>
    <t>Window Barrier 
Polycarbonate Tinted
*FOR USE WITH:
   -Stock Door Panels
   -SETINA TPO Door Panels</t>
  </si>
  <si>
    <t>Window Barrier 
Steel
Vertical
*FOR USE WITH:
   -Stock Door Panels
   -SETINA TPO Door Panels</t>
  </si>
  <si>
    <t>WK0514DUR11H</t>
  </si>
  <si>
    <t>Window Barrier 
Steel
Horizontal
*FOR USE WITH:
   -Stock Door Panels
   -SETINA TPO Door Panels</t>
  </si>
  <si>
    <t>WK0040DUR11</t>
  </si>
  <si>
    <t>Window Barrier VS 3-Piece Set
Side Windows &amp; Rear Hatch
Steel Horizontal
Rear Cargo Compartment
*REQUIRED:
   -#12VS Stationary Window Cargo Area Rear Partition NOT INCLUDED</t>
  </si>
  <si>
    <t>*REQUIRED Cargo Box NOT INCLUDED</t>
  </si>
  <si>
    <t>CK0406DUR11</t>
  </si>
  <si>
    <t>CK0406DUR11-10</t>
  </si>
  <si>
    <t>GF1092DUR11</t>
  </si>
  <si>
    <t>GT0536DUR11O</t>
  </si>
  <si>
    <t>GT0536DUR11</t>
  </si>
  <si>
    <t>GK0642DUR11</t>
  </si>
  <si>
    <t>GK0642DUR11HK</t>
  </si>
  <si>
    <t>GK0643DUR11</t>
  </si>
  <si>
    <t>GK0643DUR11HK</t>
  </si>
  <si>
    <t>QK2121DUR11</t>
  </si>
  <si>
    <t>Full REPLACEMENT Transport Seat
TPO Plastic
With SETINA SMART BELT SYSTEM</t>
  </si>
  <si>
    <t>FULL REPLACEMENT TRANSPORT SEATING</t>
  </si>
  <si>
    <t>*REQUIRED #12VS Cargo Area Rear Partition INCLUDED</t>
  </si>
  <si>
    <t>QK0566DUR11</t>
  </si>
  <si>
    <t>QK2141DUR11</t>
  </si>
  <si>
    <t>QK2120DUR11</t>
  </si>
  <si>
    <t>Full REPLACEMENT Transport Seat 
TPO Plastic
Wth SETINA SMARTBELT SYSTEM
*INCLUDES REQUIRED:
   -#12VS Stationary Window Vinyle Coated Expanded Metal Cargo Partition
*Seat Belt Retractors Pre-Installed to Save 30 Minutes of Install Time</t>
  </si>
  <si>
    <t>SEATING AREA</t>
  </si>
  <si>
    <t>QK0491DUR11</t>
  </si>
  <si>
    <t>*REQUIRED Setina #12VS Rear Cargo Area Partition Or Freestanding Brackets NOT INCLUDED</t>
  </si>
  <si>
    <t>TK0231DUR11</t>
  </si>
  <si>
    <t>TK0252DUR11</t>
  </si>
  <si>
    <t>TK0244DUR11</t>
  </si>
  <si>
    <t>TK0839DUR11</t>
  </si>
  <si>
    <t>TK0247DUR11</t>
  </si>
  <si>
    <t>TK0254DUR11</t>
  </si>
  <si>
    <t>TK0236DUR11</t>
  </si>
  <si>
    <t>TK0836DUR11</t>
  </si>
  <si>
    <t>TK0835DUR11</t>
  </si>
  <si>
    <t>TK0232DUR11</t>
  </si>
  <si>
    <t>TK0253DUR11</t>
  </si>
  <si>
    <t>TK0245DUR11</t>
  </si>
  <si>
    <t>TK0230DUR11</t>
  </si>
  <si>
    <t>TK0251DUR11</t>
  </si>
  <si>
    <t>TK0243DUR11</t>
  </si>
  <si>
    <t>TK0844DUR11</t>
  </si>
  <si>
    <t>TK0843DUR11</t>
  </si>
  <si>
    <t>TK0233DUR11</t>
  </si>
  <si>
    <t>TK0250DUR11</t>
  </si>
  <si>
    <t>TK0246DUR11</t>
  </si>
  <si>
    <t>TK0241DUR11</t>
  </si>
  <si>
    <t>TK0255DUR11</t>
  </si>
  <si>
    <t>TK0248DUR11</t>
  </si>
  <si>
    <t>TK0841DUR11</t>
  </si>
  <si>
    <t>TK0842DUR11</t>
  </si>
  <si>
    <t>CARGO STORAGE BINS</t>
  </si>
  <si>
    <t>TK2383DUR11</t>
  </si>
  <si>
    <t>Cargo Storage Bin
Locking Box</t>
  </si>
  <si>
    <t>EZ LIFT CARGO DECK</t>
  </si>
  <si>
    <t>TK1460DUR11</t>
  </si>
  <si>
    <t>Cargo Rear Deck EZ Lift
With Lower Tray and Lock
*REPLACES CARGO FLOOR
*COMPATIBLE WITH:
   -#12VS, Cargo Box &amp; Freestanding Cargo Box Brackets</t>
  </si>
  <si>
    <t>TK1245DUR11</t>
  </si>
  <si>
    <t>Cargo Deck</t>
  </si>
  <si>
    <t>TK1246DUR11</t>
  </si>
  <si>
    <t>Cargo Deck
With Lower Radio Tray</t>
  </si>
  <si>
    <t>TK2391DUR11</t>
  </si>
  <si>
    <t>TK1320DUR11</t>
  </si>
  <si>
    <t>TF0237DUR11</t>
  </si>
  <si>
    <t>PK0116DRT191500CL</t>
  </si>
  <si>
    <t>#6VS Stationary Window
Coated Polycarbonate
Flat Panel Partition
*FOR USE WITH:
   -Crew Cab
   -Quad Cab</t>
  </si>
  <si>
    <t>PK0115DRT191500CL</t>
  </si>
  <si>
    <t>#6VS Stationary Window
Uncoated Polycarbonate
Flat Panel Partition
*FOR USE WITH:
   -Crew Cab
   -Quad Cab</t>
  </si>
  <si>
    <t>PK0326DRT191500CL</t>
  </si>
  <si>
    <t>#6/7VS 3-Piece Stationary Window
Coated Polycarbonate With Vinyl Coated Expanded Metal Center Section
Flat Panel Partition
*FOR USE WITH:
   -Crew Cab
   -Quad Cab</t>
  </si>
  <si>
    <t>PK0117DRT191500CL</t>
  </si>
  <si>
    <t>#7VS Stationary Window
Vinyl Coated Expanded Metal
Flat Panel Partition
*FOR USE WITH:
   -Crew Cab
   -Quad Cab</t>
  </si>
  <si>
    <t>PK0119DRT191500CL</t>
  </si>
  <si>
    <t>#8VS Stationary Window
1/2 Coated Polycarbonate 1/2 Vinyl Coated Expanded Metal
Flat Panel Partition
*FOR USE WITH:
   -Crew Cab
   -Quad Cab</t>
  </si>
  <si>
    <t>PK0118DRT191500CL</t>
  </si>
  <si>
    <t>#8VS Stationary Window
1/2 Uncoated Polycarbonate 1/2 Vinyl Coated Expanded Metal
Flat Panel Partition
*FOR USE WITH:
   -Crew Cab
   -Quad Cab</t>
  </si>
  <si>
    <t>PK0121DRT191500CL</t>
  </si>
  <si>
    <t>#10VS Horizontal Sliding Window
Coated Polycarbonate
Flat Panel Partition
*FOR USE WITH:
   -Crew Cab
   -Quad Cab</t>
  </si>
  <si>
    <t>PK0120DRT191500CL</t>
  </si>
  <si>
    <t>#10VS Horizontal Sliding Window
Uncoated Polycarbonate
Flat Panel Partition
*FOR USE WITH:
   -Crew Cab
   -Quad Cab</t>
  </si>
  <si>
    <t>PK0350DRT191500CL</t>
  </si>
  <si>
    <t>#10VS C Horizontal Sliding Window
Coated Polycarbonate
With Expanded Metal Window Security Screen
Flat Panel Partition
*FOR USE WITH:
   -Crew Cab
   -Quad Cab</t>
  </si>
  <si>
    <t>PK0601DRT191500CL</t>
  </si>
  <si>
    <t>#10VS  C Horizontal Sliding Window
Uncoated Polycarbonate
With Expanded Metal Window Security Screen
Flat Panel Partition
*FOR USE WITH:
   -Crew Cab
   -Quad Cab</t>
  </si>
  <si>
    <t>PK0226DRT191500CL</t>
  </si>
  <si>
    <t>#10VS C2 Horizontal Sliding Window
Coated Polycarbonate
With Slotted Polycarbonate Window Security Screen
Flat Panel Partition
*FOR USE WITH:
   -Crew Cab
   -Quad Cab</t>
  </si>
  <si>
    <t>PK0225DRT191500CL</t>
  </si>
  <si>
    <t>#10VS C2  Horizontal Sliding Window
Uncoated Polycarbonate
With Slotted Polycarbonate Window Security Screen
Flat Panel Partition
*FOR USE WITH:
   -Crew Cab
   -Quad Cab</t>
  </si>
  <si>
    <t>PK0374DRT191500CCCL</t>
  </si>
  <si>
    <t>#6VS RP Stationary Window
Coated Polycarbonate
Recessed Panel Partition
*FOR USE WITH:
   -Crew Cab</t>
  </si>
  <si>
    <t>PK0374DRT191500QCCL</t>
  </si>
  <si>
    <t>#6VS RP Stationary Window
Coated Polycarbonate
Recessed Panel Partition
*FOR USE WITH:
   -Quad Cab</t>
  </si>
  <si>
    <t>PK0373DRT191500CCCL</t>
  </si>
  <si>
    <t>#6VS RP Stationary Window
Uncoated Polycarbonate
Recessed Panel Partition
*FOR USE WITH:
   -Crew Cab</t>
  </si>
  <si>
    <t>PK0373DRT191500QCCL</t>
  </si>
  <si>
    <t>#6VS RP Stationary Window
Uncoated Polycarbonate
Recessed Panel Partition
*FOR USE WITH:
   -Quad Cab</t>
  </si>
  <si>
    <t>PK0517DRT191500CCCL</t>
  </si>
  <si>
    <t>#6/7VS RP Stationary Window
Coated Polycarbonate
Recessed Panel Partition
*FOR USE WITH:
   -Crew Cab</t>
  </si>
  <si>
    <t>PK0517DRT191500QCCL</t>
  </si>
  <si>
    <t>#6/7 VS RP Stationary Window
Coated Polycarbonate
Recessed Panel Partition
*FOR USE WITH:
   -Quad Cab</t>
  </si>
  <si>
    <t>PK0420DRT191500CCCL</t>
  </si>
  <si>
    <t>#7VS RP Stationary Window
Vinyl Coated Expanded Metal
Recessed Panel Partition
*FOR USE WITH:
   -Crew Cab</t>
  </si>
  <si>
    <t>PK0420DRT191500QCCL</t>
  </si>
  <si>
    <t>#7VS RP Stationary Window
Vinyl Coated Expanded Metal
Recessed Panel Partition
*FOR USE WITH:
   -Quad Cab</t>
  </si>
  <si>
    <t>PK0369DRT191500CCCL</t>
  </si>
  <si>
    <t>#8VS RP Stationary Window
50/50 Coated Polycarbonate and Expanded Metal
Recessed Panel Partition
*FOR USE WITH:
   -Crew Cab</t>
  </si>
  <si>
    <t>PK0369DRT191500QCCL</t>
  </si>
  <si>
    <t>#8VS RP Stationary Window
50/50 Coated Polycarbonate and Expanded Metal
Recessed Panel Partition
*FOR USE WITH:
   -Quad Cab</t>
  </si>
  <si>
    <t>PK0398DRT191500CCCL</t>
  </si>
  <si>
    <t>#8VS RP Stationary Window
50/50 Uncoated Polycarbonate and Expanded Metal
Recessed Panel Partition
*FOR USE WITH:
   -Crew Cab</t>
  </si>
  <si>
    <t>PK0398DRT191500QCCL</t>
  </si>
  <si>
    <t>#8VS RP Stationary Window
50/50 Uncoated Polycarbonate and Expanded Metal
Recessed Panel Partition
*FOR USE WITH:
   -Quad Cab</t>
  </si>
  <si>
    <t>PK0355DRT191500CCCL</t>
  </si>
  <si>
    <t>#10VS RP Horizontal Sliding Window
Coated Polycarbonate
Recessed Panel Partition
*ONLY FOR USE WITH:
   -Crew Cab</t>
  </si>
  <si>
    <t>PK0355DRT191500QCCL</t>
  </si>
  <si>
    <t>#10VS RP Horizontal Sliding Window
Coated Polycarbonate
Recessed Panel Partition
*ONLY FOR USE WITH:
   -Quad Cab</t>
  </si>
  <si>
    <t>PK0439DRT191500CCCL</t>
  </si>
  <si>
    <t>#10VS RP Horizontal Sliding Window
Uncoated Polycarbonate
Recessed Panel Partition
*ONLY FOR USE WITH:
   -Crew Cab</t>
  </si>
  <si>
    <t>PK0439DRT191500QCCL</t>
  </si>
  <si>
    <t>#10VS RP Horizontal Sliding Window
Uncoated Polycarbonate
Recessed Panel Partition
*ONLY FOR USE WITH:
   -Quad Cab</t>
  </si>
  <si>
    <t>PK0419DRT191500CCCL</t>
  </si>
  <si>
    <t>#10VS C RP Horizontal Sliding Window
Coated Polycarbonate
With Expanded Metal Window Security Screen
Recessed Panel Partition
*FOR USE WITH:
   -Crew Cab</t>
  </si>
  <si>
    <t>PK0419DRT191500QCCL</t>
  </si>
  <si>
    <t>#10VS C RP Horizontal Sliding Window
Coated Polycarbonate
With Expanded Metal Window Security Screen
Recessed Panel Partition
*FOR USE WITH:
   -Quad Cab</t>
  </si>
  <si>
    <t>PK0602DRT191500CCCL</t>
  </si>
  <si>
    <t>#10VS C RP Horizontal Sliding Window
Uncoated Polycarbonate
With Expanded Metal Window Security Screen
Recessed Panel Partition
*FOR USE WITH:
   -Crew Cab</t>
  </si>
  <si>
    <t>PK0602DRT191500QCCL</t>
  </si>
  <si>
    <t>#10VS C RP Horizontal Sliding Window
Uncoated Polycarbonate
With Expanded Metal Window Security Screen
Recessed Panel Partition
*FOR USE WITH:
   -Quad Cab</t>
  </si>
  <si>
    <t>PK0228DRT191500CCCL</t>
  </si>
  <si>
    <t>#10VS C2 RP Horizontal Sliding Window
Coated Polycarbonate
With Slotted Polycarbonate Window Security Screen
Recessed Panel Partition
*FOR USE WITH:
   -Crew Cab</t>
  </si>
  <si>
    <t>PK0228DRT191500QCCL</t>
  </si>
  <si>
    <t>#10VS C2 RP Horizontal Sliding Window
Coated Polycarbonate
With Slotted Polycarbonate Window Security Screen
Recessed Panel Partition
*FOR USE WITH:
   -Quad Cab</t>
  </si>
  <si>
    <t>PK0227DRT191500CCCL</t>
  </si>
  <si>
    <t>#10VS C2 RP Horizontal Sliding Window
Uncoated Polycarbonate
With Slotted Polycarbonate Window Security Screen
Recessed Panel Partition
*FOR USE WITH:
   -Crew Cab</t>
  </si>
  <si>
    <t>PK0227DRT191500QCCL</t>
  </si>
  <si>
    <t>#10VS C2 RP Horizontal Sliding Window
Uncoated Polycarbonate
With Slotted Polycarbonate Window Security Screen
Recessed Panel Partition
*FOR USE WITH:
   -Quad Cab</t>
  </si>
  <si>
    <t>1K0574DRT191500CCCL</t>
  </si>
  <si>
    <t>Single Prisoner Transport Partition
#6VS Stationary Window
Coated Polycarbonate
*ONLY FOR USE WITH:
   -Full Stock Seat
   -Crew Cab</t>
  </si>
  <si>
    <t>1K0574DRT191500QCCL</t>
  </si>
  <si>
    <t>Single Prisoner Transport Partition
#6VS Stationary Window
Coated Polycarbonate
*ONLY FOR USE WITH:
   -Full Stock Seat
   -Quad Cab</t>
  </si>
  <si>
    <t>1K0576DRT191500CCCL</t>
  </si>
  <si>
    <t>Single Prisoner Transport Partition
#7VS Stationary Window
Vinyl Coated Expanded Metal
*ONLY FOR USE WITH:
   -Full Stock Seat
   -Crew Cab</t>
  </si>
  <si>
    <t>1K0576DRT191500QCCL</t>
  </si>
  <si>
    <t>Single Prisoner Transport Partition
#7VS Stationary Window
Vinyl Coated Expanded Metal
*ONLY FOR USE WITH:
   -Full Stock Seat
   -Quad Cab</t>
  </si>
  <si>
    <t>2K0035DRT191500CCCL</t>
  </si>
  <si>
    <t>DPT Dual Prisoner Transport Partition
*FOR USE WITH:
   - Crew Cab
   - FLAT PANEL Partition
   - Full STOCK Seat
*NOT COMPATIBLE WITH:
  -Rear Window Barrier</t>
  </si>
  <si>
    <t>2K0035DRT191500RPCCCL</t>
  </si>
  <si>
    <t>DPT Dual Prisoner Transport Partition
*FOR USE WITH:
   - Crew Cab
   - RECESSED PANEL Partition
   - Full STOCK Seat
*NOT COMPATIBLE WITH:
  -Rear Window Barrier</t>
  </si>
  <si>
    <t>PB400 PUSH BUMPERS
*COMPATIBLE With Dodge Ram Trucks Equipped With Steel Front Fascia ONLY</t>
  </si>
  <si>
    <t>BK0534DRT191500CL</t>
  </si>
  <si>
    <t>BK0535DRT191500CL</t>
  </si>
  <si>
    <t>PB450L LIGHTED PUSH BUMPERS
2 Forward Facing Lights
*ONLY Full Size Bumper Available
*COMPATIBLE With Dodge Ram Trucks Equipped With Steel Front Fascia ONLY</t>
  </si>
  <si>
    <t>BK2017DRT191500CL</t>
  </si>
  <si>
    <t>BK2166DRT191500CL</t>
  </si>
  <si>
    <t>BK2124DRT191500CL</t>
  </si>
  <si>
    <t>PB450L LIGHTED PUSH BUMPERS
4 Lights Total: 2 Forward Facing, 1 Each Side
*ONLY Full Size Bumper Available
*COMPATIBLE With Dodge Ram Trucks Equipped With Steel Front Fascia ONLY</t>
  </si>
  <si>
    <t>BK2019DRT191500CL</t>
  </si>
  <si>
    <t>BK2168DRT191500CL</t>
  </si>
  <si>
    <t>BK0802DRT191500CL</t>
  </si>
  <si>
    <t>BK1001DRT191500CL</t>
  </si>
  <si>
    <t>BK2338DRT191500CL</t>
  </si>
  <si>
    <t>BK0282DRT191500CL</t>
  </si>
  <si>
    <t>BK1583DRT191500CL</t>
  </si>
  <si>
    <t>BK1603DRT191500CL</t>
  </si>
  <si>
    <t>BK1557DRT191500CL</t>
  </si>
  <si>
    <t>BK1687DRT191500CL</t>
  </si>
  <si>
    <t>BK1525DRT191500CL</t>
  </si>
  <si>
    <t>BK1509DRT191500CL</t>
  </si>
  <si>
    <t>BK1541DRT191500CL</t>
  </si>
  <si>
    <t>BK1584DRT191500CL</t>
  </si>
  <si>
    <t>BK1604DRT191500CL</t>
  </si>
  <si>
    <t>BK1558DRT191500CL</t>
  </si>
  <si>
    <t>BK1366DRT191500CL</t>
  </si>
  <si>
    <t>BK1526DRT191500CL</t>
  </si>
  <si>
    <t>BK1510DRT191500CL</t>
  </si>
  <si>
    <t>BK1542DRT191500CL</t>
  </si>
  <si>
    <t>BK1585DRT191500CL</t>
  </si>
  <si>
    <t>BK1559DRT191500CL</t>
  </si>
  <si>
    <t>BK1527DRT191500CL</t>
  </si>
  <si>
    <t>BK1511DRT191500CL</t>
  </si>
  <si>
    <t>BK1543DRT191500CL</t>
  </si>
  <si>
    <t>HK0809DRT191500CL</t>
  </si>
  <si>
    <t>*COMPATIBLE With Year Range 2019-2024</t>
  </si>
  <si>
    <t>WK0595DRT191500CCCL</t>
  </si>
  <si>
    <t>Window Barrier 
Polycarbonate
*FOR USE WITH:
   -Stock Door Panels
   -Crew Cab</t>
  </si>
  <si>
    <t>WK1491DRT191500TCCCL</t>
  </si>
  <si>
    <t>Window Barrier 
Polycarbonate Tinted
*FOR USE WITH:
   -Stock Door Panels
   -Crew Cab</t>
  </si>
  <si>
    <t>WK0514DRT191500CL</t>
  </si>
  <si>
    <t>Window Barrier 
Steel
Vertical
*FOR USE WITH:
   -Stock Door Panels
   -Crew Cab</t>
  </si>
  <si>
    <t>WK0514DRT191500QCCL</t>
  </si>
  <si>
    <t>Window Barrier 
Steel
Vertical
*FOR USE WITH:
   -Stock Door Panels
   -Quad Cab</t>
  </si>
  <si>
    <t>WK0514DRT191500WDCL</t>
  </si>
  <si>
    <t>Window Barrier 
Steel
Horizontal
*FOR USE WITH:
   -Aluminum Door Panels
   -Crew Cab</t>
  </si>
  <si>
    <t>REAR WINDOW BARRIERS</t>
  </si>
  <si>
    <t>WK0055DRT191500CL</t>
  </si>
  <si>
    <t>Window Barrier Rear Window
Steel Horizontal</t>
  </si>
  <si>
    <t>DOOR PANELS
*COMPATIBLE With Steel Horizontal Window Barriers ONLY</t>
  </si>
  <si>
    <t>DK0598DRT191500CL</t>
  </si>
  <si>
    <t>K9 CONTAINMENT SOLUTIONS
*REQUIRED Front Partition NOT INCLUDED</t>
  </si>
  <si>
    <t>CK0555DRT191500RPCCCL-10</t>
  </si>
  <si>
    <t>K9 Containment Unit
 Occupies Full Back Seat
*REQUIRED:
   -Recessed Panel Front Partition NOT INCLUDED</t>
  </si>
  <si>
    <t>GF1092DRT05</t>
  </si>
  <si>
    <t>GT0536DRT091500</t>
  </si>
  <si>
    <t>Firearm Mount Transfer Kit SVSCA
Forward Facing Partition Mount
Without Mount Plate
*ONLY FOR USE WITH:
   -SPT Single Prisoner Transport Partition</t>
  </si>
  <si>
    <t>***NEW CARGO DECK SYSTEM**</t>
  </si>
  <si>
    <t>CARGO DECK MAX SYSTEM
*DOES NOT INCLUDE REQUIRED RECESSED PANEL FRONT PARTITION
*AVAILABLE OPTIONAL ACCESSORY UPGRADES SOLD SEPERATELY</t>
  </si>
  <si>
    <t>TK0084DRT191500CCCL</t>
  </si>
  <si>
    <t>CARGO DECK w/ DRAWER MAX
*COMPATIBLE WITH: Rear Window Barrier
*NOT COMPATIBLE WITH: SPT Partition
*INCLUDES REQUIRED:
   -Dual Poly Wall for Recessed Panel Front Partition
   -Radio Box
   -Lower Cargo Deck w/ Rubber Mat
   -Storage Box
   -Aluminum Replacement Seat For use with Factory Seat Belts
   -Door Panel Aluminum 1pc Driver Side ONLY
   -Rear Window Barrier 1pc
*DOES NOT INCLUDE REQUIRED:
   -Recessed Panel Front Partition</t>
  </si>
  <si>
    <t>TPA15313</t>
  </si>
  <si>
    <t>Upper Cargo Deck
*REQUIRED:
   -TK0084DRT191500CCCL Cargo Deck w/ Drawer Max NOT INCLUDED</t>
  </si>
  <si>
    <t>1D1388DRT191500CCCL</t>
  </si>
  <si>
    <t>WK0514DRT191500H</t>
  </si>
  <si>
    <t>TK1340DRT191500CCCL</t>
  </si>
  <si>
    <t>CARGO DECK w/ DRAWER SUPER MAX
*COMPATIBLE WITH: Rear Window Barrier
*NOT COMPATIBLE WITH: SPT Partition
*INCLUDES REQUIRED:
   -Dual Poly Wall for Recessed Panel Front Partition
   -Radio Box
   -Lower Cargo Deck w/ Rubber Mat
   -Storage Box
   -Door Panel Aluminum 1pc Driver Side ONLY
   -Rear Window Barrier 1pc
   -Aluminum Replacement Seat For use with Factory Seat Belts
*INCLUDES OPTIONAL ACCESSORIES:
   -Upper Cargo Deck
      -Door Panel Aluminum 1pc Passenger Side ONLY
   -Window Barrier 2pc Set Horizontal Bars
*DOES NOT INCLUDE REQUIRED:
   -Recessed Panel Front Partition</t>
  </si>
  <si>
    <t>FLAT PANEL PARTITIONS</t>
  </si>
  <si>
    <t>*INCLUDES Full Lower Extension Panel</t>
  </si>
  <si>
    <t>PK0115DRT191500</t>
  </si>
  <si>
    <t>PK0116DRT191500</t>
  </si>
  <si>
    <t>PK0326DRT191500</t>
  </si>
  <si>
    <t>PK0117DRT191500</t>
  </si>
  <si>
    <t>PK0118DRT191500</t>
  </si>
  <si>
    <t>PK0119DRT191500</t>
  </si>
  <si>
    <t>PK0120DRT191500</t>
  </si>
  <si>
    <t>PK0121DRT191500</t>
  </si>
  <si>
    <t>PK0601DRT191500</t>
  </si>
  <si>
    <t>#10VS C RP Horizontal Sliding Window
Uncoated Polycarbonate
With Expanded Metal Window Security Screen
Recessed Panel Partition
*ONLY FOR USE WITH:
   -Crew Cab</t>
  </si>
  <si>
    <t>PK0225DRT191500</t>
  </si>
  <si>
    <t>PK0226DRT191500</t>
  </si>
  <si>
    <t>PK0439DRT191500</t>
  </si>
  <si>
    <t>PK0355DRT191500</t>
  </si>
  <si>
    <t>1K0574DRT191500WD</t>
  </si>
  <si>
    <t>1K0576DRT191500WD</t>
  </si>
  <si>
    <t>Single Prisoner Transport Partition
#7VS Stationary Window
Coated Polycarbonate
*ONLY FOR USE WITH:
   -Full Stock Seat
   -Crew Cab</t>
  </si>
  <si>
    <t>**2019-2024 MODEL YEAR**</t>
  </si>
  <si>
    <t>BK0534DRT191500</t>
  </si>
  <si>
    <t>BK0535DRT191500</t>
  </si>
  <si>
    <t>BK2017DRT191500</t>
  </si>
  <si>
    <t>BK2166DRT191500</t>
  </si>
  <si>
    <t>BK2124DRT191500</t>
  </si>
  <si>
    <t>BK2019DRT191500</t>
  </si>
  <si>
    <t>BK2168DRT191500</t>
  </si>
  <si>
    <t>BK0802DRT191500</t>
  </si>
  <si>
    <t>BK1001DRT191500</t>
  </si>
  <si>
    <t>BK2338DRT191500</t>
  </si>
  <si>
    <t>BK0282DRT191500</t>
  </si>
  <si>
    <t>BK1583DRT191500</t>
  </si>
  <si>
    <t>BK1603DRT191500</t>
  </si>
  <si>
    <t>BK1557DRT191500</t>
  </si>
  <si>
    <t>BK1687DRT191500</t>
  </si>
  <si>
    <t>BK1525DRT191500</t>
  </si>
  <si>
    <t>BK1509DRT191500</t>
  </si>
  <si>
    <t>BK1541DRT191500</t>
  </si>
  <si>
    <t>BK1584DRT191500</t>
  </si>
  <si>
    <t>BK1604DRT191500</t>
  </si>
  <si>
    <t>BK1558DRT191500</t>
  </si>
  <si>
    <t>BK1366DRT191500</t>
  </si>
  <si>
    <t>BK1526DRT191500</t>
  </si>
  <si>
    <t>BK1510DRT191500</t>
  </si>
  <si>
    <t>BK1542DRT191500</t>
  </si>
  <si>
    <t>BK1585DRT191500</t>
  </si>
  <si>
    <t>BK1559DRT191500</t>
  </si>
  <si>
    <t>BK1527DRT191500</t>
  </si>
  <si>
    <t>BK1511DRT191500</t>
  </si>
  <si>
    <t>BK1543DRT191500</t>
  </si>
  <si>
    <t>**2025-2025 MODEL YEAR**</t>
  </si>
  <si>
    <t>BK0534DRT251500</t>
  </si>
  <si>
    <t>BK0535DRT251500</t>
  </si>
  <si>
    <t>BK2017DRT251500</t>
  </si>
  <si>
    <t>BK2166DRT251500</t>
  </si>
  <si>
    <t>BK2124DRT251500</t>
  </si>
  <si>
    <t>BK2019DRT251500</t>
  </si>
  <si>
    <t>BK2168DRT251500</t>
  </si>
  <si>
    <t>BK0802DRT251500</t>
  </si>
  <si>
    <t>BK1001DRT251500</t>
  </si>
  <si>
    <t>BK2338DRT251500</t>
  </si>
  <si>
    <t>BK0282DRT251500</t>
  </si>
  <si>
    <t>BK1583DRT251500</t>
  </si>
  <si>
    <t>BK1603DRT251500</t>
  </si>
  <si>
    <t>BK1557DRT251500</t>
  </si>
  <si>
    <t>BK1687DRT251500</t>
  </si>
  <si>
    <t>BK1525DRT251500</t>
  </si>
  <si>
    <t>BK1509DRT251500</t>
  </si>
  <si>
    <t>BK1541DRT251500</t>
  </si>
  <si>
    <t>BK1584DRT251500</t>
  </si>
  <si>
    <t>BK1604DRT251500</t>
  </si>
  <si>
    <t>BK1558DRT251500</t>
  </si>
  <si>
    <t>BK1366DRT251500</t>
  </si>
  <si>
    <t>BK1526DRT251500</t>
  </si>
  <si>
    <t>BK1510DRT251500</t>
  </si>
  <si>
    <t>BK1542DRT251500</t>
  </si>
  <si>
    <t>BK1585DRT251500</t>
  </si>
  <si>
    <t>BK1559DRT251500</t>
  </si>
  <si>
    <t>BK1527DRT251500</t>
  </si>
  <si>
    <t>BK1511DRT251500</t>
  </si>
  <si>
    <t>BK1543DRT251500</t>
  </si>
  <si>
    <t>HK0809DRT191500</t>
  </si>
  <si>
    <t>**2019-2025 MODEL YEAR**</t>
  </si>
  <si>
    <t xml:space="preserve">DOOR PANELS
</t>
  </si>
  <si>
    <t>DK0598DRT191500CC</t>
  </si>
  <si>
    <t>WK0595DRT191500</t>
  </si>
  <si>
    <t>WK1491DRT191500T</t>
  </si>
  <si>
    <t>Window Barrier 
Steel
Horizontal
*FOR USE WITH:
   -Stock Door Panels
   -Crew Cab</t>
  </si>
  <si>
    <t>REAR WINDOW BARRIER</t>
  </si>
  <si>
    <t>WK0055DRT191500</t>
  </si>
  <si>
    <t>FREE STANDING WEAPONS MOUNT SYSTEM
*INCLUDES Free Standing Mount ONLY
*REQUIRED Weapon System NOT INCLUDED</t>
  </si>
  <si>
    <t>GF1382DRT191500</t>
  </si>
  <si>
    <t>TK0084DRT191500CC</t>
  </si>
  <si>
    <t>CARGO DECK w/ DRAWER MAX
*COMPATIBLE WITH: Rear Window Barrier
*NOT COMPATIBLE WITH: SPT Partition
*INCLUDES REQUIRED:
   -Dual Poly Wall for Recessed Panel Front Partition
   -Radio Box
   -Lower Cargo Deck w/ Rubber Mat
   -Storage Box
   -Door Panel Aluminum 1pc Driver Side ONLY
   -Rear Window Barrier 1pc
   -TPO Replacement Seat with Center Pull Seat Belts
*DOES NOT INCLUDE REQUIRED:
   -Recessed Panel Front Partition</t>
  </si>
  <si>
    <t>TPA16089</t>
  </si>
  <si>
    <t>Upper Cargo Deck
*REQUIRED:
   -TK0084DRT191500CC Cargo Deck w/ Drawer Max NOT INCLUDED</t>
  </si>
  <si>
    <t>1D1388DRT191500CC</t>
  </si>
  <si>
    <t>TK1231DRT191500CC</t>
  </si>
  <si>
    <t>CARGO DECK w/ DRAWER SUPER MAX
*COMPATIBLE WITH: Rear Window Barrier
*NOT COMPATIBLE WITH: SPT Partition
*INCLUDES REQUIRED:
   -Dual Poly Wall for Recessed Panel Front Partition
   -Radio Box
   -Lower Cargo Deck w/ Rubber Mat
   -Storage Box
   -Door Panel Aluminum 1pc Driver Side ONLY
   -Rear Window Barrier 1pc
   -TPO Replacement Seat with Center Pull Seat Belts
*INCLUDES OPTIONAL ACCESSORIES:
   -Upper Cargo Deck
   -Door Panel Aluminum 1pc Passenger Side ONLY
   -Window Barrier 2pc Set Horizontal Bars
*DOES NOT INCLUDE REQUIRED:
   -Recessed Panel Front Partition</t>
  </si>
  <si>
    <t>PK0116DRT192500CC</t>
  </si>
  <si>
    <t>PK0115DRT192500CC</t>
  </si>
  <si>
    <t>PK0326DRT192500CC</t>
  </si>
  <si>
    <t>PK0117DRT192500CC</t>
  </si>
  <si>
    <t>PK0119DRT192500CC</t>
  </si>
  <si>
    <t>PK0118DRT192500CC</t>
  </si>
  <si>
    <t>PK0121DRT192500CC</t>
  </si>
  <si>
    <t>PK0120DRT192500CC</t>
  </si>
  <si>
    <t>PK0350DRT192500CC</t>
  </si>
  <si>
    <t>PK0601DRT192500CC</t>
  </si>
  <si>
    <t>PK0226DRT192500CC</t>
  </si>
  <si>
    <t>PK0225DRT192500CC</t>
  </si>
  <si>
    <t>PK0374DRT192500CC</t>
  </si>
  <si>
    <t>#6VS RP Stationary Window
Coated Polycarbonate
Recessed Panel Partition
FOR USE WITH:
 -Crew Cab</t>
  </si>
  <si>
    <t>PK0373DRT192500CC</t>
  </si>
  <si>
    <t>#6VS RP Stationary Window
Uncoated Polycarbonate
Recessed Panel Partition
FOR USE WITH:
 -Crew Cab</t>
  </si>
  <si>
    <t>PK0517DRT192500CC</t>
  </si>
  <si>
    <t>#6/7VS RP 3-Piece Stationary Window
Coated Polycarbonate With Vinyl Coated Expanded Metal Center Section
Recessed Panel Partition
FOR USE WITH:
 -Crew Cab</t>
  </si>
  <si>
    <t>PK0420DRT192500CC</t>
  </si>
  <si>
    <t>#7VS RP Stationary Window
Vinyl Coated Expanded Metal
Recessed Panel Partition
FOR USE WITH:
 -Crew Cab</t>
  </si>
  <si>
    <t>PK0369DRT192500CC</t>
  </si>
  <si>
    <t>#8VS RP Stationary Window
1/2 Coated Polycarbonate 1/2 Vinyl Coated Expanded Metal
Recessed Panel Partition
FOR USE WITH:
 -Crew Cab</t>
  </si>
  <si>
    <t>PK0398DRT192500CC</t>
  </si>
  <si>
    <t>#8VS RP Stationary Window
1/2 Uncoated Polycarbonate 1/2 Vinyl Coated Expanded Metal
Recessed Panel Partition
FOR USE WITH:
 -Crew Cab</t>
  </si>
  <si>
    <t>PK0355DRT192500CC</t>
  </si>
  <si>
    <t>#10VS RP Horizontal Sliding Window
Coated Polycarbonate
Recessed Panel Partition
FOR USE WITH:
 -Crew Cab</t>
  </si>
  <si>
    <t>PK0439DRT192500CC</t>
  </si>
  <si>
    <t>#10VS RP Horizontal Sliding Window
Uncoated Polycarbonate
Recessed Panel Partition
FOR USE WITH:
 -Crew Cab</t>
  </si>
  <si>
    <t>PK0419DRT192500CC</t>
  </si>
  <si>
    <t>#10VS C RP Horizontal Sliding Window
Coated Polycarbonate
With Expanded Metal Window Security Screen
Recessed Panel Partition
FOR USE WITH:
 -Crew Cab</t>
  </si>
  <si>
    <t>PK0602DRT192500CC</t>
  </si>
  <si>
    <t>#10VS C RP Horizontal Sliding Window
Uncoated Polycarbonate
With Expanded Metal Window Security Screen
Recessed Panel Partition
FOR USE WITH:
 -Crew Cab</t>
  </si>
  <si>
    <t>PK0228DRT192500CC</t>
  </si>
  <si>
    <t>#10VS C2 RP Horizontal Sliding Window
Coated Polycarbonate
With Slotted Poly Window Security Screen
Recessed Panel Partition
FOR USE WITH:
 -Crew Cab</t>
  </si>
  <si>
    <t>PK0227DRT192500CC</t>
  </si>
  <si>
    <t>#10VS C2 RP Horizontal Sliding Window
Uncoated Polycarbonate
With Slotted Poly Window Security Screen
Recessed Panel Partition
FOR USE WITH:
 -Crew Cab</t>
  </si>
  <si>
    <t>***2010-2018 MODEL YEAR SINGLE PRISONER PARTITIONS***</t>
  </si>
  <si>
    <t>SINGLE PRISONER TRANSPORT PARTITIONS
*INCLUDES Lower Extension Panels</t>
  </si>
  <si>
    <t>1K0574DRT192500CCP</t>
  </si>
  <si>
    <t>Single Prisoner Transport Partition
#6S Stationary Window
Coated Polycarbonate 
*ONLY FOR USE WITH:
   -Full Stock Seat
   -Crew Cab</t>
  </si>
  <si>
    <t>1K0576DRT192500CCPSCA</t>
  </si>
  <si>
    <t>Single Prisoner Transport Partition
#7S Stationary Window
Vinyl Coated Expanded Metal
*ONLY FOR USE WITH:
   -Full Stock Seat
   -Crew Cab</t>
  </si>
  <si>
    <t>1K0574DRT192500WD</t>
  </si>
  <si>
    <t>1K0576DRT192500WD</t>
  </si>
  <si>
    <t>2K0035DRT192500CCRPWD</t>
  </si>
  <si>
    <t>BK0534DRT192500</t>
  </si>
  <si>
    <t>BK0535DRT192500</t>
  </si>
  <si>
    <t>BK0060DRT192500</t>
  </si>
  <si>
    <t>PB450L2 LIGHTED PUSH BUMPERS
2 Forward Facing Lights
*ONLY Full Size Bumper Available
*COMPATIBLE With Dodge Ram Trucks Equipped With Steel Front Fascia ONLY</t>
  </si>
  <si>
    <t>BK2017DRT192500</t>
  </si>
  <si>
    <t>BK2124DRT192500</t>
  </si>
  <si>
    <t>BK2166DRT192500</t>
  </si>
  <si>
    <t>BK2019DRT192500</t>
  </si>
  <si>
    <t>BK0802DRT192500</t>
  </si>
  <si>
    <t>BK2168DRT192500</t>
  </si>
  <si>
    <t>BK1001DRT192500</t>
  </si>
  <si>
    <t>BK2338DRT192500</t>
  </si>
  <si>
    <t>BK0282DRT192500</t>
  </si>
  <si>
    <t>BK1583DRT192500</t>
  </si>
  <si>
    <t>BK1603DRT192500</t>
  </si>
  <si>
    <t>BK1557DRT192500</t>
  </si>
  <si>
    <t>BK1687DRT192500</t>
  </si>
  <si>
    <t>BK1525DRT192500</t>
  </si>
  <si>
    <t>BK1509DRT192500</t>
  </si>
  <si>
    <t>BK1541DRT192500</t>
  </si>
  <si>
    <t>BK1584DRT192500</t>
  </si>
  <si>
    <t>BK1604DRT192500</t>
  </si>
  <si>
    <t>BK1558DRT192500</t>
  </si>
  <si>
    <t>BK1366DRT192500</t>
  </si>
  <si>
    <t>BK1526DRT192500</t>
  </si>
  <si>
    <t>BK1510DRT192500</t>
  </si>
  <si>
    <t>BK1542DRT192500</t>
  </si>
  <si>
    <t>BK1585DRT192500</t>
  </si>
  <si>
    <t>BK1559DRT192500</t>
  </si>
  <si>
    <t>BK1527DRT192500</t>
  </si>
  <si>
    <t>BK1511DRT192500</t>
  </si>
  <si>
    <t>BK1543DRT192500</t>
  </si>
  <si>
    <t>HK0809DRT192500</t>
  </si>
  <si>
    <t>**2010-2025 MODEL YEARS**</t>
  </si>
  <si>
    <t>DK0598DRT192500</t>
  </si>
  <si>
    <t>WK0595DRT102500</t>
  </si>
  <si>
    <t>Window Barrier 
Polycarbonate
*COMPATIBLE WITH:
   -Stock Door Panels
   -Crew Cab</t>
  </si>
  <si>
    <t>WK1491DRT102500T</t>
  </si>
  <si>
    <t>Window Barrier 
Polycarbonate Tinted
*COMPATIBLE WITH:
   -Stock Door Panels
   -Crew Cab</t>
  </si>
  <si>
    <t>WK0514DRT102500</t>
  </si>
  <si>
    <t>Window Barrier 
Steel Vertical
*COMPATIBLE WITH:
   -Stock Door Panels
   -Crew Cab</t>
  </si>
  <si>
    <t>WK0514DRT102500WD</t>
  </si>
  <si>
    <t>Window Barrier 
Steel Vertical
*COMPATIBLE WITH:
   -Aluminum Door Panel
   -Crew Cab</t>
  </si>
  <si>
    <t>WK0055DRT102500</t>
  </si>
  <si>
    <t>*FOR USE WITH All Cab Sizes</t>
  </si>
  <si>
    <t>GF1092DRT102500</t>
  </si>
  <si>
    <t>YEAR RANGE 2009-2018</t>
  </si>
  <si>
    <t>WEAPONS MOUNT SYSTEM TRANSFER KIT</t>
  </si>
  <si>
    <t>TK0084DRT102500CC</t>
  </si>
  <si>
    <t>CARGO DECK w/ DRAWER MAX
*COMPATIBLE WITH: Rear Window Barrier
*NOT COMPATIBLE WITH: SPT Partition
*INCLUDES REQUIRED:
   -Dual Poly Wall for Recessed Panel Front Partition
   -Radio Box
   -Lower Cargo Deck w/ Rubber Mat
   -Storage Box
   -Door Panel Aluminum 1pc Driver Side ONLY
   -Rear Window Barrier 1pc
   -Aluminum Seat with Center Pull Seat Belts
*DOES NOT INCLUDE REQUIRED:
   -Recessed Panel Front Partition</t>
  </si>
  <si>
    <t>Upper Cargo Deck
*REQUIRED:
   -TK0084DRT102500CC Cargo Deck w/ Drawer Max NOT INCLUDED</t>
  </si>
  <si>
    <t>1D1388DRT102500CC</t>
  </si>
  <si>
    <t>Window Barrier 2pc Set Horizontal Steel Bars
*FOR USE WITH STOCK DOOR PANEL</t>
  </si>
  <si>
    <t>Window Barrier 2pc Set Horizontal Steel Bars
*FOR USE WITH ALUMINUM DOOR PANEL</t>
  </si>
  <si>
    <t>TK1340DRT102500CC</t>
  </si>
  <si>
    <t>CARGO DECK w/ DRAWER SUPER MAX
*COMPATIBLE WITH: Rear Window Barrier
*NOT COMPATIBLE WITH: SPT Partition
*INCLUDES REQUIRED:
   -Dual Poly Wall for Recessed Panel Front Partition
   -Radio Box
   -Lower Cargo Deck w/ Rubber Mat
   -Storage Box
   -Door Panel Aluminum 1pc Driver Side ONLY
   -Rear Window Barrier 1pc
   -Aluminum Seat with Center Pull Seat Belts
*INCLUDES OPTIONAL ACCESSORIES:
   -Upper Cargo Deck
   -Door Panel Aluminum 1pc Passenger Side ONLY
   -Window Barrier 2pc Set Horizontal Bars
*DOES NOT INCLUDE REQUIRED:
   -Recessed Panel Front Partition</t>
  </si>
  <si>
    <t>PK0102CGR11</t>
  </si>
  <si>
    <t>#6S Stationary Window
Coated Polycarbonate
Flat Panel Partition</t>
  </si>
  <si>
    <t>PK0101CGR11</t>
  </si>
  <si>
    <t>#6S Stationary Window
Uncoated Polycarbonate
Flat Panel Partition</t>
  </si>
  <si>
    <t>PK0135CGR11</t>
  </si>
  <si>
    <t>#6/7S 3-Piece Stationary Window
Coated Polycarbonate With Vinyl Coated Expanded Metal Center Section
Flat Panel Partition</t>
  </si>
  <si>
    <t>PK0103CGR11</t>
  </si>
  <si>
    <t>#7S Stationary Window
Vinyl Coated Expanded Metal
Flat Panel Partition</t>
  </si>
  <si>
    <t>PK0800CGR11</t>
  </si>
  <si>
    <t>#8S Stationary Window
1/2 Coated Polycarbonate 1/2 Vinyl Coated Expanded Metal
Flat Panel Partition</t>
  </si>
  <si>
    <t>PK0104CGR11</t>
  </si>
  <si>
    <t>#8S Stationary Window
1/2 Uncoated Polycarbonate 1/2 Vinyl Coated Expanded Metal
Flat Panel Partition</t>
  </si>
  <si>
    <t>PK0108CGR11</t>
  </si>
  <si>
    <t>#10S Horizontal Sliding Window
Coated Polycarbonate
Flat Panel Partition</t>
  </si>
  <si>
    <t>PK0107CGR11</t>
  </si>
  <si>
    <t>#10S Horizontal Sliding Window
Uncoated Polycarbonate
Flat Panel Partition</t>
  </si>
  <si>
    <t>PK0305CGR11</t>
  </si>
  <si>
    <t>#10S C Horizontal Sliding Window
Coated Polycarbonate
With Expanded Metal Window Security Screen
Flat Panel Partition</t>
  </si>
  <si>
    <t>PK0577CGR11</t>
  </si>
  <si>
    <t>#10S C Horizontal Sliding Window
Uncoated Polycarbonate
With Expanded Metal Window Security Screen
Flat Panel Partition</t>
  </si>
  <si>
    <t>PK0222CGR11</t>
  </si>
  <si>
    <t>#10S C2 Horizontal Sliding Window
Coated Polycarbonate
With Slotted Polycarbonate Window Security Screen
Flat Panel Partition</t>
  </si>
  <si>
    <t>PK0221CGR11</t>
  </si>
  <si>
    <t>#10S C2 Horizontal Sliding Window
Uncoated Polycarbonate
With Slotted Polycarbonate Window Security Screen
Flat Panel Partition</t>
  </si>
  <si>
    <t>*TM Partitions Available Please Add Suffix "TM" To Part Number</t>
  </si>
  <si>
    <t>PK0330CGR11</t>
  </si>
  <si>
    <t>#6S RP Stationary Window
Coated Polycarbonate
Recessed Panel Partition</t>
  </si>
  <si>
    <t>PK0329CGR11</t>
  </si>
  <si>
    <t>#6S RP Stationary Window
Uncoated Polycarbonate
Recessed Panel Partition</t>
  </si>
  <si>
    <t>PK0331CGR11</t>
  </si>
  <si>
    <t>#6/7S RP 3-Piece Stationary Window
Coated Polycarbonate With Vinyl Coated Expanded Metal Center Section
Recessed Panel Partition</t>
  </si>
  <si>
    <t>PK0332CGR11</t>
  </si>
  <si>
    <t>#7S RP Stationary Window
Vinyl Coated Expanded Metal
Recessed Panel Partition</t>
  </si>
  <si>
    <t>PK0333CGR11</t>
  </si>
  <si>
    <t>#8S RP Stationary Window
1/2 Coated Polycarbonate 1/2 Vinyl Coated Expanded Metal
Recessed Panel Partition</t>
  </si>
  <si>
    <t>PK0325CGR11</t>
  </si>
  <si>
    <t>#8S RP Stationary Window
1/2 Uncoated Polycarbonate 1/2 Vinyl Coated Expanded Metal
Recessed Panel Partition</t>
  </si>
  <si>
    <t>PK0315CGR11</t>
  </si>
  <si>
    <t>#10S RP Horizontal Sliding Window
Coated Polycarbonate
Recessed Panel Partition</t>
  </si>
  <si>
    <t>PK0334CGR11</t>
  </si>
  <si>
    <t>#10S RP Horizontal Sliding Window
Uncoated Polycarbonate
Recessed Panel Partition</t>
  </si>
  <si>
    <t>PK0418CGR11</t>
  </si>
  <si>
    <t>#10S C RP Horizontal Sliding Window
Coated Polycarbonate
With Expanded Metal Window Security Screen
Recessed Panel Partition</t>
  </si>
  <si>
    <t>PK0600CGR11</t>
  </si>
  <si>
    <t>#10S C RP Horizontal Sliding Window
Uncoated Polycarbonate
With Expanded Metal Window Security Screen
Recessed Panel Partition</t>
  </si>
  <si>
    <t>PK0224CGR11</t>
  </si>
  <si>
    <t>#10S C2 RP Horizontal Sliding Window
Coated Polycarbonate
With Slotted Poly Window Security Screen
Recessed Panel Partition</t>
  </si>
  <si>
    <t>PK0223CGR11</t>
  </si>
  <si>
    <t>#10S C2 RP Horizontal Sliding Window
Uncoated Polycarbonate
With Slotted Poly Window Security Screen
Recessed Panel Partition</t>
  </si>
  <si>
    <t>PK1138CGR11</t>
  </si>
  <si>
    <t>#6XL Stationary Window
Coated Polycarbonate
XL Panel Partition
*STANDARD OPTION:
   -Tall Man</t>
  </si>
  <si>
    <t>PK1137CGR11</t>
  </si>
  <si>
    <t>#6XL Stationary Window
Uncoated Polycarbonate
XL Panel Partition
*STANDARD OPTION:
   -Tall Man</t>
  </si>
  <si>
    <t>PK1144CGR11</t>
  </si>
  <si>
    <t>#6/7XL 3-Piece Stationary Window
Coated Polycarbonate With Vinyl Coated Expanded Metal Center Section
XL Panel Partition
*STANDARD OPTION:
   -Tall Man</t>
  </si>
  <si>
    <t>PK1140CGR11</t>
  </si>
  <si>
    <t>#7XL Stationary Window
Vinyl Coated Expanded Metal Partition
XL Panel Partition
*STANDARD OPTION:
   -Tall Man</t>
  </si>
  <si>
    <t>PK1134CGR11</t>
  </si>
  <si>
    <t>#8XL Stationary Window
1/2 Coated Polycarbonate 1/2 Vinyl Coated Expanded Metal
XL Panel Partition
*STANDARD OPTION:
   -Tall Man</t>
  </si>
  <si>
    <t>PK1133CGR11</t>
  </si>
  <si>
    <t>#8XL Stationary Window
1/2 Uncoated Polycarbonate 1/2 Vinyl Coated Expanded Metal
XL Panel Partition
*STANDARD OPTION:
   -Tall Man</t>
  </si>
  <si>
    <t>PK1130CGR11</t>
  </si>
  <si>
    <t>#10XL Horizontal Sliding Window
Coated Polycarbonate
XL Panel Partition
*STANDARD OPTION:
   -Tall Man</t>
  </si>
  <si>
    <t>PK1129CGR11</t>
  </si>
  <si>
    <t>#10XL Horizontal Sliding Window
Uncoated Polycarbonate
XL Panel Partition
*STANDARD OPTION:
   -Tall Man</t>
  </si>
  <si>
    <t>PK1126CGR11</t>
  </si>
  <si>
    <t>#10XL C Horizontal Sliding Window
Coated Polycarbonate
With Expanded Metal Window Security Screen
XL Panel Partition
*STANDARD OPTION:
   -Tall Man</t>
  </si>
  <si>
    <t>PK1125CGR11</t>
  </si>
  <si>
    <t>#10XL C Horizontal Sliding Window
Uncoated Polycarbonate
With Expanded Metal Window Security Screen
XL Panel Partition
*STANDARD OPTION:
   -Tall Man</t>
  </si>
  <si>
    <t>PK1186CGR11</t>
  </si>
  <si>
    <t>#10XL C2 Horizontal Sliding Window
Coated Polycarbonate
With Slotted Polycarbonate Window Security Screen
XL Panel Partition
*STANDARD OPTION:
   -Tall Man</t>
  </si>
  <si>
    <t>PK1185CGR11</t>
  </si>
  <si>
    <t>#10XL C2 Horizontal Sliding Window
Uncoated Polycarbonate
With Slotted Polycarbonate Window Security Screen
XL Panel Partition
*STANDARD OPTION:
   -Tall Man</t>
  </si>
  <si>
    <t>1K0573CGR11P</t>
  </si>
  <si>
    <t>SPT Single Prisoner Transport Partition
#6S Stationary Window
Coated Polycarbonate 
*ONLY FOR USE WITH:
   -Stock Seat</t>
  </si>
  <si>
    <t>1K0573CGR11FSR</t>
  </si>
  <si>
    <t>SPT Single Prisoner Transport
#6S  Stationary Window
Coated Polycarbonate
*ONLY FOR USE WITH:
   -Full REPLACEMENT Transport Seat</t>
  </si>
  <si>
    <t>1K0575CGR11E</t>
  </si>
  <si>
    <t>SPT Single PRISONER Transport Parition
#7S Stationary Window
Vinyl Coated Expanded Metal
*ONLY FOR USE WITH:
   -Stock Seat</t>
  </si>
  <si>
    <t>1K0575CGR11FSR</t>
  </si>
  <si>
    <t>SPT Single Prisoner Transport
#7S Stationary Window
Vinyl Coated Expanded Metal
*ONLY FOR USE WITH:
   -Full REPLACEMENT Transport Seat</t>
  </si>
  <si>
    <t>2K0034CGR11</t>
  </si>
  <si>
    <t>DPT Dual Prisoner Transport Partition
*FOR USE WITH:
   - FLAT PANEL Partition
   - Full STOCK Seat</t>
  </si>
  <si>
    <t>2K0034CGR11FPFR</t>
  </si>
  <si>
    <t>DPT Dual Prisoner Transport Partition
*FOR USE WITH:
   - FLAT PANEL Partition
   - Full REPLACEMENT Transport Seat</t>
  </si>
  <si>
    <t>2K0034CGR11RP</t>
  </si>
  <si>
    <t>DPT Dual Prisoner Transport Partition
*FOR USE WITH:
   - RECESSED PANEL Partition
   - Full STOCK Seat</t>
  </si>
  <si>
    <t>2K0034CGR11FSRRP</t>
  </si>
  <si>
    <t>DPT Dual Prisoner Transport Partition
*FOR USE WITH:
   - RECESSED PANEL Partition
   - Full REPLACEMENT Transport Seat</t>
  </si>
  <si>
    <t>2K0034CGR11FSRXL</t>
  </si>
  <si>
    <t>*COMPATIBLE With Year Range 2015-2023</t>
  </si>
  <si>
    <t>BK0532CGR15</t>
  </si>
  <si>
    <t>PB400 VS Bumper
Aluminum</t>
  </si>
  <si>
    <t>BK0533CGR15</t>
  </si>
  <si>
    <t>PB400 VS Bumper
Steel</t>
  </si>
  <si>
    <t>PB450L LIGHTED PUSH BUMPERS
2 Forward Facing Lights</t>
  </si>
  <si>
    <t>BK2005CGR15</t>
  </si>
  <si>
    <t>BK2162CGR15</t>
  </si>
  <si>
    <t>BK2091CGR15</t>
  </si>
  <si>
    <t>PB450L LIGHTED PUSH BUMPERS
4 Lights Total: 2 Forward Facing, 1 Each Side</t>
  </si>
  <si>
    <t>BK2007CGR15</t>
  </si>
  <si>
    <t>BK2164CGR15</t>
  </si>
  <si>
    <t>BK2093CGR15</t>
  </si>
  <si>
    <t>BK1000CGR15</t>
  </si>
  <si>
    <t>BK2340CGR15</t>
  </si>
  <si>
    <t>BK1577CGR15</t>
  </si>
  <si>
    <t>BK1601CGR15</t>
  </si>
  <si>
    <t>BK1549CGR15</t>
  </si>
  <si>
    <t>BK1517CGR15</t>
  </si>
  <si>
    <t>BK1501CGR15</t>
  </si>
  <si>
    <t>BK1533CGR15</t>
  </si>
  <si>
    <t>BK1578CGR15</t>
  </si>
  <si>
    <t>BK1602CGR15</t>
  </si>
  <si>
    <t>BK1550CGR15</t>
  </si>
  <si>
    <t>BK1518CGR15</t>
  </si>
  <si>
    <t>BK1502CGR15</t>
  </si>
  <si>
    <t>BK1534CGR15</t>
  </si>
  <si>
    <t>BK1356CGR15</t>
  </si>
  <si>
    <t>BK1519CGR15</t>
  </si>
  <si>
    <t>BK1503CGR15</t>
  </si>
  <si>
    <t>BK1535CGR15</t>
  </si>
  <si>
    <t>OK1342CGR</t>
  </si>
  <si>
    <t>FK0617CGR15</t>
  </si>
  <si>
    <t>FK0411CGR15</t>
  </si>
  <si>
    <t>FK2268CGR15</t>
  </si>
  <si>
    <t>HK0807CGR15</t>
  </si>
  <si>
    <t>PB6 Headlight Guard
With PB5 Wrap</t>
  </si>
  <si>
    <t>HK0806CGR15</t>
  </si>
  <si>
    <t>PB8 Headlight
Guard Double Loop</t>
  </si>
  <si>
    <t>HK2269CGR15</t>
  </si>
  <si>
    <t>HK2270CGR15</t>
  </si>
  <si>
    <t>*COMPATIBLE With Year Range 2011-2023</t>
  </si>
  <si>
    <t>WK0594CGR11</t>
  </si>
  <si>
    <t>WK1490CGR11T</t>
  </si>
  <si>
    <t>WK0513CGR11</t>
  </si>
  <si>
    <t>DK0100CGR11</t>
  </si>
  <si>
    <t>***2011-2023 MODEL YEAR SKID PLATE***</t>
  </si>
  <si>
    <t>SK0075CGR11V8</t>
  </si>
  <si>
    <t>Skid Plate
Steel
*COMPATIBLE WITH:
   -V8 Engine
   -Rear Wheel Drive Pursuit
*FOR FULL UNDERCARRIAGE COVERAGE:
   -RECOMMENDED Transmission Plate NOT INCLUDED</t>
  </si>
  <si>
    <t>***2014-2020 MODEL YEAR SKID PLATE***</t>
  </si>
  <si>
    <t>SK0075CGR14V8</t>
  </si>
  <si>
    <t>Skid Plate
Steel
*COMPATIBLE WITH:
   -V8 Engine
   -All Wheel Drive Pursuit
*FOR FULL UNDERCARRIAGE COVERAGE:
   -RECOMMENDED Transmission Plate NOT INCLUDED</t>
  </si>
  <si>
    <t>***2014-2021 MODEL YEAR V8 TRANSMISSION PLATE***</t>
  </si>
  <si>
    <t>MK0707CGR14V8</t>
  </si>
  <si>
    <t>Transmission Plate
Steel
*COMPATIBLE WITH:
   -V8 Transmission All Wheel Drive Pursuit
*FOR FULL UNDERCARRIAGE COVERAGE:
   -RECOMMENDED Skid Plate NOT INCLUDED</t>
  </si>
  <si>
    <t>***2021 MODEL YEAR SKID PLATE***</t>
  </si>
  <si>
    <t>SK0075CGR21V6</t>
  </si>
  <si>
    <t>Skid Plate
Steel
*COMPATIBLE WITH:
   -V6 Engine
   -All Wheel Drive Pursuit
*FOR FULL UNDERCARRIAGE COVERAGE:
   -RECOMMENDED Transmission Plate NOT INCLUDED</t>
  </si>
  <si>
    <t>SK0075CGR21V8</t>
  </si>
  <si>
    <t>***2021 MODEL YEAR V6 TRANSMISSION PLATE***</t>
  </si>
  <si>
    <t>MK0707CGR21V6</t>
  </si>
  <si>
    <t>Transmission Plate
Steel
*COMPATIBLE WITH:
   -V6 Transmission All Wheel Drive Pursuit
*FOR FULL UNDERCARRIAGE COVERAGE:
   -RECOMMENDED Skid Plate NOT INCLUDED</t>
  </si>
  <si>
    <t>K9 CONTAINMENT SOLUTIONS
*REQUIRES Front Partition NOT INCLUDED</t>
  </si>
  <si>
    <t>CK0515CGR11</t>
  </si>
  <si>
    <t>K9 Containment Unit
Occupies Full Back Seat
*REQUIRED:
   -Flat Panel Front Partition NOT INCLUDED</t>
  </si>
  <si>
    <t>CK0515CGR11RP</t>
  </si>
  <si>
    <t>K9 Containment Unit
 Occupies Full Back Seat
*FOR USE WITH REQUIRED Recessed Panel Front Partition NOT INCLUDED</t>
  </si>
  <si>
    <t>Containment Units Include Door Panels, Window Barriers and Complete Interior Coverage</t>
  </si>
  <si>
    <t>GF1092CGR11</t>
  </si>
  <si>
    <t>T-Rail Free Standing Mount Kit</t>
  </si>
  <si>
    <t>GT0536CGR11</t>
  </si>
  <si>
    <t>QK0634CGR11</t>
  </si>
  <si>
    <t>QK2121CGR11</t>
  </si>
  <si>
    <t>SETINA CENTER PULL SEAT BELT SYSTEM
FOR USE WITH STOCK SEAT</t>
  </si>
  <si>
    <t>QK2316CGR11</t>
  </si>
  <si>
    <t>SETINA SMARTBELT SYSTEM
*ONLY FOR USE WITH:
   -Stock Seat</t>
  </si>
  <si>
    <t>QK2145CGR11</t>
  </si>
  <si>
    <t>FLOOR PANS
*COMPATIBLE With All Setina Seats</t>
  </si>
  <si>
    <t>QK0491CGR11</t>
  </si>
  <si>
    <t>CARGO STORAGE BOX</t>
  </si>
  <si>
    <t>TK1189CGR11</t>
  </si>
  <si>
    <t>Trunk Tray
Aluminum</t>
  </si>
  <si>
    <t>TK1167CGR11</t>
  </si>
  <si>
    <t>Trunk Tray
Aluminum
With Lid &amp; Lock</t>
  </si>
  <si>
    <t>AT7858</t>
  </si>
  <si>
    <t>Trunk Tray Fan
Complete Assembly</t>
  </si>
  <si>
    <t>PK0116CAR08</t>
  </si>
  <si>
    <t>PK0115CAR08</t>
  </si>
  <si>
    <t>PK0326CAR08</t>
  </si>
  <si>
    <t>PK0117CAR08</t>
  </si>
  <si>
    <t>PK0119CAR08</t>
  </si>
  <si>
    <t>PK0118CAR08</t>
  </si>
  <si>
    <t>PK0121CAR08</t>
  </si>
  <si>
    <t>PK0120CAR08</t>
  </si>
  <si>
    <t>PK0350CAR08</t>
  </si>
  <si>
    <t>PK0601CAR08</t>
  </si>
  <si>
    <t>PK0226CAR08</t>
  </si>
  <si>
    <t>PK0225CAR08</t>
  </si>
  <si>
    <t>PK0123CAR082ND</t>
  </si>
  <si>
    <t>PK0123CAR082NDOH</t>
  </si>
  <si>
    <t>Cargo Area Parition
#12VS Stationary Window
Vinyl Coated Expanded Metal
*FOR USE WITH:
   -2nd Row Seat
   -Overhead Console</t>
  </si>
  <si>
    <t>PK0316CAR082ND</t>
  </si>
  <si>
    <t>Cargo Area Parition
#12VS Stationary Window
Coated Polycarbonate
*FOR USE WITH:
   -2nd Row Seat</t>
  </si>
  <si>
    <t>PK0316CAR082NDOH</t>
  </si>
  <si>
    <t>Cargo Area Parition
#12VS Stationary Window
Coated Polycarbonate
*FOR USE WITH:
   -2nd Row Seat
   -Overhead Console</t>
  </si>
  <si>
    <t>CARGO AREA REAR PARTITIONS
*FOR USE BEHIND 3rd Row Seat ONLY</t>
  </si>
  <si>
    <t>PK0123CAR083RD</t>
  </si>
  <si>
    <t>Cargo Area Parition
#12VS Stationary Window
Vinyl Coated Expanded Metal
*FOR USE WITH:
   -3rd Row Seat</t>
  </si>
  <si>
    <t>PK0316CAR083RD</t>
  </si>
  <si>
    <t>Cargo Area Parition
#12VS Stationary Window
Coated Polycarbonate
*FOR USE WITH:
   -3rd Row Seat</t>
  </si>
  <si>
    <t>GF1092CAR08</t>
  </si>
  <si>
    <t>T-Rail Mount Kit
Free Standing
*FOR USE WITH:
   -Caravan Stow And Go
*NOT COMPATIBLE WITH:
   -Partitions</t>
  </si>
  <si>
    <t>LIMITED PRODUCTION: NO RETURNS OR CANCELLATIONS</t>
  </si>
  <si>
    <t>PK0116VOY20</t>
  </si>
  <si>
    <t>PK0117VOY20</t>
  </si>
  <si>
    <t>PK0119VOY20</t>
  </si>
  <si>
    <t>PK0118VOY20</t>
  </si>
  <si>
    <t>PK0121VOY20</t>
  </si>
  <si>
    <t>PK0350VOY20</t>
  </si>
  <si>
    <t>PK0226VOY20</t>
  </si>
  <si>
    <t>PK0123VOY202ND</t>
  </si>
  <si>
    <t>PK0316VOY202ND</t>
  </si>
  <si>
    <t>PK0123VOY203RD</t>
  </si>
  <si>
    <t>PK0316VOY203RD</t>
  </si>
  <si>
    <t>WK1467VOY20</t>
  </si>
  <si>
    <t>Window Barrier 5-Piece
Steel Expanded Metal</t>
  </si>
  <si>
    <t>DUAL XL (EXTRA LEGROOM) PARTITIONS
*INCLUDES XL Recessed Panel &amp; Lower Extension Panel</t>
  </si>
  <si>
    <t>PK2075TLY20</t>
  </si>
  <si>
    <t>#10DXL Horizontal Sliding Window
Coated Polycarbonate
DXL Panel Partition</t>
  </si>
  <si>
    <t>PK2073TLY20</t>
  </si>
  <si>
    <t>#10DXL C Horizontal Sliding Window
Coated Polycarbonate
With Expanded Metal Window Security Screen
DXL Panel Partition</t>
  </si>
  <si>
    <t>SINGLE PRISONER TRANSPORT PARTITIONS
*INCLUDES Lower Extension Panels
Requires #12VS Partition - Sold Separately</t>
  </si>
  <si>
    <t>1K0574TLY20FR</t>
  </si>
  <si>
    <t>1K0574TLY20WD</t>
  </si>
  <si>
    <t>SPT Single Prisoner Transport Partition
#6VS SPT Stationary Window
Coated Polycarbonate
*FOR USE WITH:
   -Stock Seat</t>
  </si>
  <si>
    <t>PK0666TLY20</t>
  </si>
  <si>
    <t>FOLD DOWN RADIO STORAGE LOCKER
Cargo Area Rear Partition
#12VS Stationary Window - GLASS</t>
  </si>
  <si>
    <t>BK0534TLY20</t>
  </si>
  <si>
    <t>BK0535TLY20</t>
  </si>
  <si>
    <t>BK2017TLY20</t>
  </si>
  <si>
    <t>BK2166TLY20</t>
  </si>
  <si>
    <t>BK2124TLY20</t>
  </si>
  <si>
    <t>BK2019TLY20</t>
  </si>
  <si>
    <t>BK2168TLY20</t>
  </si>
  <si>
    <t>BK0802TLY20</t>
  </si>
  <si>
    <t>BK1001TLY20</t>
  </si>
  <si>
    <t>BK2338TLY20</t>
  </si>
  <si>
    <t>BK0282TLY20</t>
  </si>
  <si>
    <t>BK1583TLY20</t>
  </si>
  <si>
    <t>BK1603TLY20</t>
  </si>
  <si>
    <t>BK1557TLY20</t>
  </si>
  <si>
    <t>BK1687TLY20</t>
  </si>
  <si>
    <t>BK1525TLY20</t>
  </si>
  <si>
    <t>BK1509TLY20</t>
  </si>
  <si>
    <t>BK1541TLY20</t>
  </si>
  <si>
    <t>BK1584TLY20</t>
  </si>
  <si>
    <t>BK1604TLY20</t>
  </si>
  <si>
    <t>BK1558TLY20</t>
  </si>
  <si>
    <t>BK1366TLY20</t>
  </si>
  <si>
    <t>BK1526TLY20</t>
  </si>
  <si>
    <t>BK1510TLY20</t>
  </si>
  <si>
    <t>BK1542TLY20</t>
  </si>
  <si>
    <t>BK1585TLY20</t>
  </si>
  <si>
    <t>BK1559TLY20</t>
  </si>
  <si>
    <t>BK1527TLY20</t>
  </si>
  <si>
    <t>BK1511TLY20</t>
  </si>
  <si>
    <t>BK1543TLY20</t>
  </si>
  <si>
    <t>FK0400TLY20</t>
  </si>
  <si>
    <t>DK0100TLY20</t>
  </si>
  <si>
    <t>QK2112TLY20</t>
  </si>
  <si>
    <t>Full REPLACEMENT Transport Seat
TPO Plastic
To Fit Stock Seat Belts</t>
  </si>
  <si>
    <t>CONSOLE</t>
  </si>
  <si>
    <t>NK0920TLY20</t>
  </si>
  <si>
    <t>Console</t>
  </si>
  <si>
    <t>GK03831STLY20</t>
  </si>
  <si>
    <t>GK03831STLY20HK</t>
  </si>
  <si>
    <t>SINGLE WEAPON MOUNT SYSTEM WITH SINGLE LOCK</t>
  </si>
  <si>
    <t>*FOR USE WITH All Vehicles
*FOR USE WHEN Mounting to Partition or Freestanding Bases</t>
  </si>
  <si>
    <t>GK10251SHK</t>
  </si>
  <si>
    <t>Single T-Rail Mount
Small
With Handcuff Key Override</t>
  </si>
  <si>
    <t>GK10251S</t>
  </si>
  <si>
    <t>Single T-Rail Mount
Small
With #2 Key Override</t>
  </si>
  <si>
    <t>GK10261LHK</t>
  </si>
  <si>
    <t>Single T-Rail Mount
Large
With Handcuff Key Override</t>
  </si>
  <si>
    <t>GK10261L</t>
  </si>
  <si>
    <t>Single T-Rail Mount
Large
With #2 Key Override</t>
  </si>
  <si>
    <t>GK10271UHK</t>
  </si>
  <si>
    <t>Single T-Rail Mount
Universal XL
With Handcuff Key Override</t>
  </si>
  <si>
    <t>GK10271U</t>
  </si>
  <si>
    <t>Single T-Rail Mount
Universal XL
With #2 Key Override</t>
  </si>
  <si>
    <t>DUAL WEAPON MOUNT SYSTEM WITH DOUBLE LOCKS</t>
  </si>
  <si>
    <t>GK10291S1LHK</t>
  </si>
  <si>
    <t>Dual T-Rail Mount
1 Small
1 Larg
Handcuff Key Override</t>
  </si>
  <si>
    <t>GK10291S1L</t>
  </si>
  <si>
    <t>Dual T-Rail Mount
1 Small
1 Large
With #2 Key Override</t>
  </si>
  <si>
    <t>GK10301S1UHK</t>
  </si>
  <si>
    <t>Dual T-Rail Mount
1 Small, 1 Universal XL
With Handcuff Key Override</t>
  </si>
  <si>
    <t>GK10301S1U</t>
  </si>
  <si>
    <t>Dual T-Rail Mount
1 Small
1 Universal XL
With #2 Key Override</t>
  </si>
  <si>
    <t>GK10311L1UHK</t>
  </si>
  <si>
    <t>Dual T-Rail Mount
1 Large
1 Universal XL
With Handcuff Key Override</t>
  </si>
  <si>
    <t>GK10311L1U</t>
  </si>
  <si>
    <t>Dual T-Rail Mount
1 Large
1 Universal XL
With #2 Key Override</t>
  </si>
  <si>
    <t>GK10322SHK</t>
  </si>
  <si>
    <t>Dual T-Rail Mount
2 Small
With Handcuff Key Override</t>
  </si>
  <si>
    <t>GK10322S</t>
  </si>
  <si>
    <t>Dual T-Rail Mount
2 Small
With #2 Key Override</t>
  </si>
  <si>
    <t>GK10332LHK</t>
  </si>
  <si>
    <t>Dual T-Rail Mount
2 Large
Handcuff Key Override</t>
  </si>
  <si>
    <t>GK10332L</t>
  </si>
  <si>
    <t>Dual T-Rail Mount
2 Large
With #2 Key Override</t>
  </si>
  <si>
    <t>GK10342UHK</t>
  </si>
  <si>
    <t>Dual T-Rail Mount
2 Universal XL 
Handcuff Key Override</t>
  </si>
  <si>
    <t>GK10342U</t>
  </si>
  <si>
    <t>Dual T-Rail Mount
2 Universal XL
With #2 Key Override</t>
  </si>
  <si>
    <t>DUAL WEAPON MOUNT SYSTEM WITH SINGLE LOCK</t>
  </si>
  <si>
    <t>GK20021SHK</t>
  </si>
  <si>
    <t>Dual T-Rail Mount
Small
With Handcuff Key Override</t>
  </si>
  <si>
    <t>GK20021S</t>
  </si>
  <si>
    <t>Dual T-Rail Mount
Small
With #2 Key Override</t>
  </si>
  <si>
    <t>GK20031LHK</t>
  </si>
  <si>
    <t>Dual T-Rail Mount
Large
With Handcuff Key Override</t>
  </si>
  <si>
    <t>GK20031L</t>
  </si>
  <si>
    <t>Dual T-Rail Mount
Large
With #2 Key Override</t>
  </si>
  <si>
    <t>GK20041UHK</t>
  </si>
  <si>
    <t>Dual T-Rail Mount
Universal XL 
With Handcuff Key Override</t>
  </si>
  <si>
    <t>GK20041U</t>
  </si>
  <si>
    <t>Dual T-Rail Mount
Universal XL
With #2 Key Override</t>
  </si>
  <si>
    <t>WEAPON MOUNT SYSTEMS WITHOUT LOCKS</t>
  </si>
  <si>
    <t>GK1024</t>
  </si>
  <si>
    <t>Single T-Rail Mount
No Locks</t>
  </si>
  <si>
    <t>GK1028</t>
  </si>
  <si>
    <t>Dual T-Rail Mount
No Locks</t>
  </si>
  <si>
    <t>WEAPON MOUNT SYSTEM WITH BLAC-RAC LOCKS</t>
  </si>
  <si>
    <t>GK170514</t>
  </si>
  <si>
    <t>Single T-Rail Mount
4130E Blac-Rac Shotgun Lock
*ADVERTISED "LE" LAW ENFORCEMENT MSRP $389.00</t>
  </si>
  <si>
    <t>GK0068E</t>
  </si>
  <si>
    <t>Single T-Rail Mount
1082E Blac-Rac, Trigger Guard and Receiver
***NEW COLD WIRE TECHNOLOGY INCLUDED***
SOLD SEPARATELY
Momentary Switch, Required if NOT wiring into Smart Siren Controller</t>
  </si>
  <si>
    <t>GK0069M</t>
  </si>
  <si>
    <t>Single T-Rail Mount
1080M Blac-Rac</t>
  </si>
  <si>
    <t>GK12621B14</t>
  </si>
  <si>
    <t>Dual T-Rail Mount
1 4130E Blac-Rac Shotgun Lock
1 1082E Blac-Rac, Trigger Guard and Receiver
***NEW COLD WIRE TECHNOLOGY INCLUDED***
SOLD SEPARATELY
Momentary Switch, Required if NOT wiring into Smart Siren Controller
*ADVERTISED "LE" LAW ENFORCEMENT MSRP $929.00</t>
  </si>
  <si>
    <t>GK11191B1SHK</t>
  </si>
  <si>
    <t>Dual T-Rail Mount
1 Small with Handcuff Key Override
1 1082E Blac-Rac, Trigger Guard and Receiver
***NEW COLD WIRE TECHNOLOGY INCLUDED***
SOLD SEPARATELY
Momentary Switch, Required if NOT wiring into Smart Siren Controller</t>
  </si>
  <si>
    <t>GK11191B1S</t>
  </si>
  <si>
    <t>Dual T-Rail Mount
1 Small
1 1082E Blac-Rac, Trigger Guard and Receiver
***NEW COLD WIRE TECHNOLOGY INCLUDED***
SOLD SEPARATELY
Momentary Switch, Required if NOT wiring into Smart Siren Controller</t>
  </si>
  <si>
    <t>GK11201B1LHK</t>
  </si>
  <si>
    <t>Dual T-Rail Mount
1 Large with Handcuff Key Override
1 1082E Blac-Rac, Trigger Guard and Receiver
***NEW COLD WIRE TECHNOLOGY INCLUDED***
SOLD SEPARATELY
Momentary Switch, Required if NOT wiring into Smart Siren Controller</t>
  </si>
  <si>
    <t>GK11201B1L</t>
  </si>
  <si>
    <t>Dual T-Rail Mount
1 Large
1 1082E Blac-Rac, Trigger Guard and Receiver
***NEW COLD WIRE TECHNOLOGY INCLUDED***
SOLD SEPARATELY
Momentary Switch, Required if NOT wiring into Smart Siren Controller</t>
  </si>
  <si>
    <t>GK11211B1UHK</t>
  </si>
  <si>
    <t>Dual T-Rail Mount
1 Universal XL with Handcuff Key Override
1 1082E Blac-Rac, Trigger Guard and Receiver
***NEW COLD WIRE TECHNOLOGY INCLUDED***
SOLD SEPARATELY
Momentary Switch, Required if NOT wiring into Smart Siren Controller
With Handcuff Key Override</t>
  </si>
  <si>
    <t>GK11211B1U</t>
  </si>
  <si>
    <t>Dual T-Rail Mount
1 Universal XL
1 1082E Blac-Rac, Trigger Guard and Receiver
***NEW COLD WIRE TECHNOLOGY INCLUDED***
SOLD SEPARATELY
Momentary Switch, Required if NOT wiring into Smart Siren Controller</t>
  </si>
  <si>
    <t>GK11222B</t>
  </si>
  <si>
    <t>Dual T-Rail Mount
2 1082E Blac-Rac, Trigger Guard and Receiver
***NEW COLD WIRE TECHNOLOGY INCLUDED***
SOLD SEPARATELY
Momentary Switch, Required if NOT wiring into Smart Siren Controller</t>
  </si>
  <si>
    <t>GK2001E</t>
  </si>
  <si>
    <t>Dual T-Rail Mount
1082E Blac-Rac, Trigger Guard and Receiver
***NEW COLD WIRE TECHNOLOGY INCLUDED***
SOLD SEPARATELY
Momentary Switch, Required if NOT wiring into Smart Siren Controller</t>
  </si>
  <si>
    <t>BLAC-RAC LOCKS ONLY</t>
  </si>
  <si>
    <t>BLACRAC_1091M</t>
  </si>
  <si>
    <t>Blac-Rac
1091M Manual MARINE</t>
  </si>
  <si>
    <t>GK1409E</t>
  </si>
  <si>
    <t>Blac-Rac
1082E Blac-Rac, Trigger Guard and Receiver
***NEW COLD WIRE TECHNOLOGY INCLUDED*** 
SOLD SEPARATELY:
Momentary Switch, Required if NOT wiring into Smart Siren Controller</t>
  </si>
  <si>
    <t>BLACRAC_1091E</t>
  </si>
  <si>
    <t>Blac-Rac
1091E Electric MARINE</t>
  </si>
  <si>
    <t>GK1714</t>
  </si>
  <si>
    <t xml:space="preserve">Blac-Rac
Key #209 </t>
  </si>
  <si>
    <t>***NEW BLAC-RAC LAW SHOTGUN LOCK 4130E***</t>
  </si>
  <si>
    <t>GK1263E</t>
  </si>
  <si>
    <t xml:space="preserve">Blac-Rac
4130E Shotgun Lock ONLY
*ADVERTISED "LE" LAW ENFORCEMENT </t>
  </si>
  <si>
    <t>BLAC-RAC ***NEW COLD WIRE TECHNOLOGY***
RETROFIT KITS</t>
  </si>
  <si>
    <t>GK0750</t>
  </si>
  <si>
    <t>Blac-Rac NEW COLD WIRE TECHNOLOGY
Momentary Switch
*REQUIRED IF:
   -Required if NOT wiring into Smart Siren Controller</t>
  </si>
  <si>
    <t>GR1436</t>
  </si>
  <si>
    <t>Blac-Rac NEW COLD WIRE TECHNOLOGY
Retrofit Kit
Converts 1082E from Nov 2018 and prior
*INCLUDES:
   -Circuitboard and Transmitter
*SOLD SEPARATELY
   -Momentary Switch, Required if NOT wiring into Smart Siren Controller</t>
  </si>
  <si>
    <t>GR1435</t>
  </si>
  <si>
    <t>Blac-Rac NEW COLD WIRE TECHNOLOGY
Retrofit Kit
Converts 1082E from Dec 2018 thru Jun 2019
*INCLUDES:
   -Transmitter
*SOLD SEPARATELY
   -Momentary Switch, Required if NOT wiring into Smart Siren Controller</t>
  </si>
  <si>
    <t>VAULTLOCK SINGLE WEAPON MOUNT SYSTEM
WITH SINGLE LOCK
VAULTLOCK</t>
  </si>
  <si>
    <t>GK10701U</t>
  </si>
  <si>
    <t>Single T-Rail Mount
1 Universal Vaultlock
With #2 Key Override</t>
  </si>
  <si>
    <t>GK10701UHK</t>
  </si>
  <si>
    <t>Single T-Rail Mount
1 Universal Vaultlock
With Handcuff Key Override</t>
  </si>
  <si>
    <t>VAULTLOCK DUAL WEAPON MOUNT SYSTEM
WITH DOUBLE LOCKS
VAULTLOCK</t>
  </si>
  <si>
    <t>GK10112U</t>
  </si>
  <si>
    <t>Dual T-Rail Mount
1 Universal
1 Universal VAULTLOCK
With #2 Key Override</t>
  </si>
  <si>
    <t>GK10112UHK</t>
  </si>
  <si>
    <t>Dual T-Rail Mount
1 Universal
1 Universal VAULTLOCK HK</t>
  </si>
  <si>
    <t>GK10141S1U</t>
  </si>
  <si>
    <t>Dual T-Rail Mount
1 Small lock
With #2 Key Override
1 Universal Vaultlock
With #2 Key Override</t>
  </si>
  <si>
    <t>GK10141S1UHK</t>
  </si>
  <si>
    <t>Dual T-Rail Mount
1 Small lock
With Handcuff Key Override
1 Universal Vaultlock
With Handcuff Key Override</t>
  </si>
  <si>
    <t>TRUNK TRAY WEAPONS SYSTEMS</t>
  </si>
  <si>
    <t>GK10251ST</t>
  </si>
  <si>
    <t>Single T-Rail
Trunk Tray Mount
Small
With #2 Key Override</t>
  </si>
  <si>
    <t>GK10251STHK</t>
  </si>
  <si>
    <t>Single T-Rail
Trunk Tray Mount
Small
With Handcuff Key Override</t>
  </si>
  <si>
    <t>GK10261LT</t>
  </si>
  <si>
    <t>Single T-Rail
Trunk Tray Mount
Large
With #2 Key Override</t>
  </si>
  <si>
    <t>GK10261LTHK</t>
  </si>
  <si>
    <t>Single T-Rail
Trunk Tray Mount  Large
With Handcuff Key Override</t>
  </si>
  <si>
    <t>TRUNK TRAY ACCESSORIES</t>
  </si>
  <si>
    <t>LOCKS ONLY</t>
  </si>
  <si>
    <t>GK0524</t>
  </si>
  <si>
    <t>Small Lock
#2 Key</t>
  </si>
  <si>
    <t>GK0524HK</t>
  </si>
  <si>
    <t>Small Lock
With Handcuff Key Override</t>
  </si>
  <si>
    <t>GK0525</t>
  </si>
  <si>
    <t>Large Lock
#2 Key</t>
  </si>
  <si>
    <t>GK0525HK</t>
  </si>
  <si>
    <t>Large Lock
With Handcuff Key Override</t>
  </si>
  <si>
    <t>GK0815</t>
  </si>
  <si>
    <t>Universal XL Lock
#2 Key</t>
  </si>
  <si>
    <t>GK0815HK</t>
  </si>
  <si>
    <t>Universal XL Lock
With Handcuff Key Override</t>
  </si>
  <si>
    <t>PGKEY#2</t>
  </si>
  <si>
    <t>Lock Replacement Key #2
(1 Piece Single Key)</t>
  </si>
  <si>
    <t>SMALL LOCK ACCESSORY</t>
  </si>
  <si>
    <t>PG3968</t>
  </si>
  <si>
    <t>Barrel Mount Insert
*FOR USE WITH Small lock</t>
  </si>
  <si>
    <t>SANTA CRUZ LOCK ACCESSORY</t>
  </si>
  <si>
    <t>GK0726</t>
  </si>
  <si>
    <t>10sec DELAY TIMER w/ SWITCH</t>
  </si>
  <si>
    <t>CARS</t>
  </si>
  <si>
    <t>Dodge Charger</t>
  </si>
  <si>
    <t>EK0690CGR06</t>
  </si>
  <si>
    <t>Premier
Pager System</t>
  </si>
  <si>
    <t>EK0691CGR06</t>
  </si>
  <si>
    <t>Premier
Canine System
With Bailout
*Fan NOT INCLUDED</t>
  </si>
  <si>
    <t>EK0683CGR06</t>
  </si>
  <si>
    <t>Premier System
*Fan NOT INCLUDED</t>
  </si>
  <si>
    <t>EK0688CGR06</t>
  </si>
  <si>
    <t>Savvy Fan
*7.5" Fan ONLY</t>
  </si>
  <si>
    <t>EK0684CGR06</t>
  </si>
  <si>
    <t>Savvy Temperature Control System
*COMPATIBLE With 7.5" Fan
*Fan NOT INCLUDED</t>
  </si>
  <si>
    <t>VANS, TRUCKS, SUV'S</t>
  </si>
  <si>
    <t>Chevrolet Tahoe</t>
  </si>
  <si>
    <t>EK0690TAH00</t>
  </si>
  <si>
    <t>EK0691TAH00</t>
  </si>
  <si>
    <t>EK0683TAH00</t>
  </si>
  <si>
    <t>EK0689TAH00</t>
  </si>
  <si>
    <t>Maxi Thin Fan
*10" Fan ONLY</t>
  </si>
  <si>
    <t>EK0684TAH00</t>
  </si>
  <si>
    <t>Savvy Temperature Control System
*COMPATIBLE With 10" Fan
*Fan NOT INCLUDED</t>
  </si>
  <si>
    <t>Chevrolet Truck</t>
  </si>
  <si>
    <t>EK0690CHT07</t>
  </si>
  <si>
    <t>EK0691CHT07</t>
  </si>
  <si>
    <t>EK0683CHT07</t>
  </si>
  <si>
    <t>Chevrolet Truck 1500/2500/3500</t>
  </si>
  <si>
    <t>EK0689CHT07</t>
  </si>
  <si>
    <t>EK0684CHT07</t>
  </si>
  <si>
    <t>Dodge Ram Truck</t>
  </si>
  <si>
    <t>EK0690DRT09</t>
  </si>
  <si>
    <t>EK0691DRT09</t>
  </si>
  <si>
    <t>EK0683DRT09</t>
  </si>
  <si>
    <t>EK0689DRT09</t>
  </si>
  <si>
    <t>EK0684DRT09</t>
  </si>
  <si>
    <t>Dodge Durango</t>
  </si>
  <si>
    <t>EK0690DUR11</t>
  </si>
  <si>
    <t>EK0691DUR11</t>
  </si>
  <si>
    <t>EK0683DUR11</t>
  </si>
  <si>
    <t>EK0689DUR11</t>
  </si>
  <si>
    <t>Ford Expedition</t>
  </si>
  <si>
    <t>EK0690EPD07</t>
  </si>
  <si>
    <t>EK0691EPD07</t>
  </si>
  <si>
    <t>EK0683EPD07</t>
  </si>
  <si>
    <t>EK0689EPD07</t>
  </si>
  <si>
    <t>EK0684EPD07</t>
  </si>
  <si>
    <t>Ford Interceptor Utility</t>
  </si>
  <si>
    <t>EK0690ITU12</t>
  </si>
  <si>
    <t>EK0691ITU12</t>
  </si>
  <si>
    <t>EK0683ITU12</t>
  </si>
  <si>
    <t>EK0689ITU12</t>
  </si>
  <si>
    <t>Maxi Thin Fan
10" Fan ONLY</t>
  </si>
  <si>
    <t>EK0684ITU12</t>
  </si>
  <si>
    <t>Ford Truck F150</t>
  </si>
  <si>
    <t>EK0690FDT09F150</t>
  </si>
  <si>
    <t>EK0691FDT09F150</t>
  </si>
  <si>
    <t>EK0683FDT09F150</t>
  </si>
  <si>
    <t>EK0689FDT09F150</t>
  </si>
  <si>
    <t>EK0684FDT09F150</t>
  </si>
  <si>
    <t>Ford Truck F250</t>
  </si>
  <si>
    <t>EK0690FDT09F250</t>
  </si>
  <si>
    <t>EK0691FDT09F250</t>
  </si>
  <si>
    <t>EK0683FDT09F250</t>
  </si>
  <si>
    <t>EK0689FDT09F250</t>
  </si>
  <si>
    <t>EK0684FDT09F250</t>
  </si>
  <si>
    <t>AC-AP1COVERS</t>
  </si>
  <si>
    <t>Black plastic captured insert cap</t>
  </si>
  <si>
    <t>AC-CC-875CAP</t>
  </si>
  <si>
    <t>Black plastic cap cover</t>
  </si>
  <si>
    <t>AC-LT13-CLAMP</t>
  </si>
  <si>
    <t>Laptop tray finger clamp, vinyl cap</t>
  </si>
  <si>
    <t>AC-AP1</t>
  </si>
  <si>
    <t>12 Volt DC power outlet plug only</t>
  </si>
  <si>
    <t>FP-AP12CUS</t>
  </si>
  <si>
    <t>2" face plate with two DC outlet holes; (1) rocker switch hole</t>
  </si>
  <si>
    <t>FP-BLNK1</t>
  </si>
  <si>
    <t>1" Blank filler plate</t>
  </si>
  <si>
    <t>FP-BLNK2</t>
  </si>
  <si>
    <t>2" Blank filler plate</t>
  </si>
  <si>
    <t>L3-AP1SET</t>
  </si>
  <si>
    <t>12 Volt DC power outlet plug with black captured cap</t>
  </si>
  <si>
    <t>AC-MCLBKT</t>
  </si>
  <si>
    <t>L-shaped slotted bracket for microphone clip (mic clip not included)</t>
  </si>
  <si>
    <t>AC-MCM1</t>
  </si>
  <si>
    <t>Dog-ear type microphone clip plate and clip assembly</t>
  </si>
  <si>
    <t>FP-BLNK1P</t>
  </si>
  <si>
    <t>FP-BLNK1PA</t>
  </si>
  <si>
    <t>FP-ML1</t>
  </si>
  <si>
    <t>1" face plate with map light slot</t>
  </si>
  <si>
    <t>FP-ML2</t>
  </si>
  <si>
    <t>2" face plate with map light slot</t>
  </si>
  <si>
    <t>GL-SC1201</t>
  </si>
  <si>
    <t>Insert for GL-SC1 weapon lock (for barrel)</t>
  </si>
  <si>
    <t>GL-SC1201-B</t>
  </si>
  <si>
    <t>Gun lock barrel insert</t>
  </si>
  <si>
    <t>FP-BLNK1-TS</t>
  </si>
  <si>
    <t>FP-BLNK3</t>
  </si>
  <si>
    <t>3" Blank filler plate</t>
  </si>
  <si>
    <t>FP-BLNK4</t>
  </si>
  <si>
    <t>4" Blank filler plate</t>
  </si>
  <si>
    <t>FP-AP1</t>
  </si>
  <si>
    <t>FP-AP12</t>
  </si>
  <si>
    <t>2" face plate with two DC outlet holes</t>
  </si>
  <si>
    <t>FP-MLDC2</t>
  </si>
  <si>
    <t>2" face plate with 2 DC outlet holes &amp; map light slot</t>
  </si>
  <si>
    <t>L3-MCLBRKT</t>
  </si>
  <si>
    <t>Mic bracket with clip. Bolts to computer mounts and keyboard trays</t>
  </si>
  <si>
    <t>PB-UBKT-LT</t>
  </si>
  <si>
    <t>FP-AP12-3</t>
  </si>
  <si>
    <t>2" face plate with three DC outlet holes</t>
  </si>
  <si>
    <t>FP-AP12-4</t>
  </si>
  <si>
    <t>2" face plate with four DC outlet holes</t>
  </si>
  <si>
    <t>FP-BLNK2SW1</t>
  </si>
  <si>
    <t>FP-BLNK5</t>
  </si>
  <si>
    <t>FP-HRMETER</t>
  </si>
  <si>
    <t>AC-F-TH-WALL</t>
  </si>
  <si>
    <t>Universal wide-body open storage bulkhead wall. Use when mounting computer to console side.</t>
  </si>
  <si>
    <t>AC-MIC-Z-FPI</t>
  </si>
  <si>
    <t>Height adjustable, no-holes-drilled L-slot microphone clip plate assembly</t>
  </si>
  <si>
    <t>FP-21TH-USBDC</t>
  </si>
  <si>
    <t xml:space="preserve">2" face plate pre-punched with holes to fit Tahoe OEM USB &amp; 1 DC outlet </t>
  </si>
  <si>
    <t>FP-2AC2DC</t>
  </si>
  <si>
    <t>2" face plate with one AC duplex outlet cut-out and two DC outlet holes</t>
  </si>
  <si>
    <t>FP-AP2</t>
  </si>
  <si>
    <t>3" face plate with two DC outlet holes</t>
  </si>
  <si>
    <t>FP-AP3</t>
  </si>
  <si>
    <t>FP-BL2SW3AP1</t>
  </si>
  <si>
    <t>FP-BL2SW3AP2</t>
  </si>
  <si>
    <t>FP-BLNK1SW3</t>
  </si>
  <si>
    <t>FP-BLNK2SW</t>
  </si>
  <si>
    <t>FP-KUSS-USB-3DC</t>
  </si>
  <si>
    <t>FP-RAM-USB2-AUX</t>
  </si>
  <si>
    <t>FP-1DC2SWUSB-2</t>
  </si>
  <si>
    <t>FP-BLNK2SW2-S</t>
  </si>
  <si>
    <t>FP-BLNK2SW4</t>
  </si>
  <si>
    <t>FP-BLNK2SW5</t>
  </si>
  <si>
    <t>FP-EXP18-USB-DC</t>
  </si>
  <si>
    <t xml:space="preserve">2" face plate to re-locate OEM USB and DC outlets to console </t>
  </si>
  <si>
    <t>FP-BLNK3SW6</t>
  </si>
  <si>
    <t>FP-BLNK6</t>
  </si>
  <si>
    <t>FP-KUSSMAUL-2</t>
  </si>
  <si>
    <t>AC-CCHY-BH</t>
  </si>
  <si>
    <t>5" Durable high-impact polymer internal dual beverage holder; includes a larger size cup holder, for size water bottles or tumblers 18-32oz along with a standard size holder.</t>
  </si>
  <si>
    <t>FP-A-COOL-GP</t>
  </si>
  <si>
    <t xml:space="preserve">4" American Aluminum K9 Cool Guard plus face plate </t>
  </si>
  <si>
    <t>FP-ARGES-2</t>
  </si>
  <si>
    <t>5" Dual Arges face plate</t>
  </si>
  <si>
    <t>FP-ACDC-INV-4</t>
  </si>
  <si>
    <t>FP-ARB360</t>
  </si>
  <si>
    <t>3" Panasonic Arbitrator 360</t>
  </si>
  <si>
    <t>FP-ARB360-ADP</t>
  </si>
  <si>
    <t>FP-BC350</t>
  </si>
  <si>
    <t>FP-BKDMH5992R</t>
  </si>
  <si>
    <t>3" DMH5992R remote head radio</t>
  </si>
  <si>
    <t>FP-BKEM5992X</t>
  </si>
  <si>
    <t>3" EM5992X one-piece radio</t>
  </si>
  <si>
    <t>FP-BKGMH5992R</t>
  </si>
  <si>
    <t>3" GMH5992R remote head radio</t>
  </si>
  <si>
    <t>FP-BK-KNGM150-D</t>
  </si>
  <si>
    <t>3" M150 one-piece radio</t>
  </si>
  <si>
    <t>FP-BKLAA0355</t>
  </si>
  <si>
    <t>FP-BKM150-R</t>
  </si>
  <si>
    <t>3" KNG-M150-R digital remote radio</t>
  </si>
  <si>
    <t>FP-BLNK2SW6</t>
  </si>
  <si>
    <t>FP-BLNK7</t>
  </si>
  <si>
    <t>FP-BLNK8</t>
  </si>
  <si>
    <t>FP-C18WXST2</t>
  </si>
  <si>
    <t>FP-C33892</t>
  </si>
  <si>
    <t>4" Mastercomm one-pc. lights/siren controller</t>
  </si>
  <si>
    <t>FP-C33892-3</t>
  </si>
  <si>
    <t>3" Custom 3” version of FP-C33892</t>
  </si>
  <si>
    <t>FP-C3999</t>
  </si>
  <si>
    <t>FP-C3ASTK-09</t>
  </si>
  <si>
    <t>FP-C3NARROW</t>
  </si>
  <si>
    <t>FP-C3VCON</t>
  </si>
  <si>
    <t>FP-C3-XCEL</t>
  </si>
  <si>
    <t>4" XCEL one-pc. lights/siren controller</t>
  </si>
  <si>
    <t>FP-C3-Z3</t>
  </si>
  <si>
    <t>4" Z3 remote lights/siren controller</t>
  </si>
  <si>
    <t>FP-CARSC409</t>
  </si>
  <si>
    <t>FP-CARSC411</t>
  </si>
  <si>
    <t>FP-CDM1250</t>
  </si>
  <si>
    <t>3" CDM750/1250/1550, one-piece</t>
  </si>
  <si>
    <t>FP-CDM1250(R)</t>
  </si>
  <si>
    <t>FP-CM300</t>
  </si>
  <si>
    <t>2" CM300 Radio</t>
  </si>
  <si>
    <t>FP-COBRA25LTD</t>
  </si>
  <si>
    <t>FP-COBRA29LTD</t>
  </si>
  <si>
    <t>FP-DECORA</t>
  </si>
  <si>
    <t>FP-EFJ5300ES</t>
  </si>
  <si>
    <t>FP-EFJ5ESL</t>
  </si>
  <si>
    <t>FP-EQ2B-RJ</t>
  </si>
  <si>
    <t>FP-ERIC-KRY-RD</t>
  </si>
  <si>
    <t>FP-ETSA481</t>
  </si>
  <si>
    <t>4" ETSA481 one-piece lights/siren</t>
  </si>
  <si>
    <t>FP-F-2200</t>
  </si>
  <si>
    <t>FP-FEDPA300</t>
  </si>
  <si>
    <t>3" PA-300 siren</t>
  </si>
  <si>
    <t>FP-FEDPA640</t>
  </si>
  <si>
    <t>4" PA-640 one-pc. siren</t>
  </si>
  <si>
    <t>FP-FED-PATH-R</t>
  </si>
  <si>
    <t>3" Fed-Signal Pathfinder remote head siren</t>
  </si>
  <si>
    <t>FP-FEDSMC2</t>
  </si>
  <si>
    <t>FP-FEDSMRT1</t>
  </si>
  <si>
    <t>4" SS2000 remote lights/siren controller</t>
  </si>
  <si>
    <t>FP-FEDSW300</t>
  </si>
  <si>
    <t>FP-FICM3025</t>
  </si>
  <si>
    <t>FP-FPI-SO380R</t>
  </si>
  <si>
    <t xml:space="preserve">4" Blueprint Knob Control Panel ENGCP18002 </t>
  </si>
  <si>
    <t>FP-GEMDX</t>
  </si>
  <si>
    <t>FP-GEORION</t>
  </si>
  <si>
    <t>FP-HARRIS-T</t>
  </si>
  <si>
    <t>3" M7200, remote, tilted toward driver, custom</t>
  </si>
  <si>
    <t>FP-H-UNITY</t>
  </si>
  <si>
    <t>FP-H-XG25M</t>
  </si>
  <si>
    <t>FP-H-XG25M-R</t>
  </si>
  <si>
    <t>FP-H-XL200M-R</t>
  </si>
  <si>
    <t xml:space="preserve">3" Harris XL-200M P25 Remote Head Mobile Radio </t>
  </si>
  <si>
    <t>FP-ICF121</t>
  </si>
  <si>
    <t>2" IC-F121/F221 radio</t>
  </si>
  <si>
    <t>FP-ICF1721D</t>
  </si>
  <si>
    <t>3" IC-F1721D/F1821D radio</t>
  </si>
  <si>
    <t>FP-ICF6061D</t>
  </si>
  <si>
    <t>3" IC-F5061,-D, F6061,-D radios</t>
  </si>
  <si>
    <t>FP-ICOMA110</t>
  </si>
  <si>
    <t>3" IC-A110 Aviation radio</t>
  </si>
  <si>
    <t>FP-ICOMA120</t>
  </si>
  <si>
    <t>3" IC-A120 Aviation radio</t>
  </si>
  <si>
    <t>FP-ICOMA200</t>
  </si>
  <si>
    <t>2" IC-A200 Aviation radio</t>
  </si>
  <si>
    <t>FP-ICOP-20/20W</t>
  </si>
  <si>
    <t>FP-KEN30(R)</t>
  </si>
  <si>
    <t>FP-KENKCH20R</t>
  </si>
  <si>
    <t>3" CH20 remote head radio</t>
  </si>
  <si>
    <t>FP-KENNX5M-D</t>
  </si>
  <si>
    <t>3" NX5000, one-piece radio</t>
  </si>
  <si>
    <t>FP-KENNX5M-R</t>
  </si>
  <si>
    <t>3" NX5000, remote head radio</t>
  </si>
  <si>
    <t>FP-KENTK6110</t>
  </si>
  <si>
    <t>FP-KENTK7150</t>
  </si>
  <si>
    <t>FP-KENTK7160H3</t>
  </si>
  <si>
    <t>3" TK-7160 H3 mobile radio</t>
  </si>
  <si>
    <t>FP-KENTK7160HK</t>
  </si>
  <si>
    <t>FP-KENTK7360</t>
  </si>
  <si>
    <t>2" TK-7360 FM mobile radio</t>
  </si>
  <si>
    <t>FP-KENTK790</t>
  </si>
  <si>
    <t>3" TK-790 mobile radio</t>
  </si>
  <si>
    <t>FP-KENTK790MR</t>
  </si>
  <si>
    <t>3" 790/890 remote head radio</t>
  </si>
  <si>
    <t>FP-KENTK860</t>
  </si>
  <si>
    <t>FP-KENTK890</t>
  </si>
  <si>
    <t>3" TK-890 mobile radio</t>
  </si>
  <si>
    <t>FP-K-NX3720</t>
  </si>
  <si>
    <t>2" NX-3720HG/3820HG mobile radio</t>
  </si>
  <si>
    <t>FP-KTK7180-8180</t>
  </si>
  <si>
    <t>2" TK-7180H/8180H/8180 mobile radio</t>
  </si>
  <si>
    <t>FP-L3-FB2-MON</t>
  </si>
  <si>
    <t>FP-L3FLASH</t>
  </si>
  <si>
    <t>L-3 Flashback Model 2</t>
  </si>
  <si>
    <t>FP-L3FLASH3</t>
  </si>
  <si>
    <t>FP-M9001</t>
  </si>
  <si>
    <t>FP-M9004</t>
  </si>
  <si>
    <t>2" DEK A9 (direct entry keypad)</t>
  </si>
  <si>
    <t>FP-M9005</t>
  </si>
  <si>
    <t>3" Dual DEK A9 face plate</t>
  </si>
  <si>
    <t>FP-MAPX6500-02</t>
  </si>
  <si>
    <t>4" APX 6500 02, remote head</t>
  </si>
  <si>
    <t>FP-MCM7200</t>
  </si>
  <si>
    <t>3" M7200, M7300 one-piece</t>
  </si>
  <si>
    <t>FP-MCS2001</t>
  </si>
  <si>
    <t>3" MCS 2000, Model 1, one-piece</t>
  </si>
  <si>
    <t>FP-MDSTM1050B</t>
  </si>
  <si>
    <t>FP-MRLN4884B-2</t>
  </si>
  <si>
    <t>FP-MTURBO</t>
  </si>
  <si>
    <t>3" XPR 4500/4550/4580, remote head</t>
  </si>
  <si>
    <t>FP-MXPR5550</t>
  </si>
  <si>
    <t>3" XPR 4500/4550/4580, one-piece</t>
  </si>
  <si>
    <t>FP-MXTL2500</t>
  </si>
  <si>
    <t>3" XTL2500/5000/APX6500 remote 05/07</t>
  </si>
  <si>
    <t>FP-MXTL25M9-4</t>
  </si>
  <si>
    <t>FP-MXTL5000</t>
  </si>
  <si>
    <t>3" XTL2500/5000/APX6500 One-piece, 05/07</t>
  </si>
  <si>
    <t>FP-ORION(R)</t>
  </si>
  <si>
    <t>3" XG-100M CH-721 XG-75M remote head</t>
  </si>
  <si>
    <t>FP-PATHFINDER</t>
  </si>
  <si>
    <t>3" Fed-Signal Pathfinder one-piece siren</t>
  </si>
  <si>
    <t>FP-PLATINUM</t>
  </si>
  <si>
    <t>4" Platinum remote lights/siren controller</t>
  </si>
  <si>
    <t>FP-PLATINUM-T</t>
  </si>
  <si>
    <t>4" Platinum remote lights/siren controller. Custom designed to tilt toward driver.</t>
  </si>
  <si>
    <t>FP-SGTRAY</t>
  </si>
  <si>
    <t>4" face plate shallow tray with sloped floor; holds smartphone, keys, wallet, sunglasses, etc. 1.75" H.</t>
  </si>
  <si>
    <t>FP-SIGLCS800</t>
  </si>
  <si>
    <t>FP-SIGUS-67D</t>
  </si>
  <si>
    <t>FP-SO380R</t>
  </si>
  <si>
    <t>4" ETSA480 Blueprint remote head lights/siren</t>
  </si>
  <si>
    <t>FP-SO500-R</t>
  </si>
  <si>
    <t>4" Soundoff 500 siren remote head</t>
  </si>
  <si>
    <t>FP-SOETSP990</t>
  </si>
  <si>
    <t>FP-SPCTR(S)</t>
  </si>
  <si>
    <t>FP-TAIT2000</t>
  </si>
  <si>
    <t>FP-TAITM8200</t>
  </si>
  <si>
    <t>FP-TAITM8200(D)</t>
  </si>
  <si>
    <t>FP-TOMAR940(R)</t>
  </si>
  <si>
    <t>FP-UBC350A</t>
  </si>
  <si>
    <t>FP-UBCD996T</t>
  </si>
  <si>
    <t>3" D996-T Scanner</t>
  </si>
  <si>
    <t>FP-UNIPRO520</t>
  </si>
  <si>
    <t>FP-UPRO510XL</t>
  </si>
  <si>
    <t>FP-UV20-USBDC</t>
  </si>
  <si>
    <t xml:space="preserve">2" face plate pre-punched with holes to fit Ford Series trucks to relocate SYNC outlets (works  with CC-WBOS consoles) </t>
  </si>
  <si>
    <t>FP-VX2200</t>
  </si>
  <si>
    <t>FP-VX4600</t>
  </si>
  <si>
    <t>FP-VX6000</t>
  </si>
  <si>
    <t>FP-W-ARGES</t>
  </si>
  <si>
    <t>4" Whelen Arges Series Super-LED Remote Control Spotlight</t>
  </si>
  <si>
    <t>FP-W-CANX</t>
  </si>
  <si>
    <t>3"  Whelen Core WeCanX 6 Button/Knob Ctrl Head CCTL9</t>
  </si>
  <si>
    <t>FP-WCCP9</t>
  </si>
  <si>
    <t>4” Whelen CCP9 Core-C Control Point and Switchbox</t>
  </si>
  <si>
    <t>FP-WCENCOM-JD</t>
  </si>
  <si>
    <t>4" Control/Cencom (Sapphire, Carbide)/295 SA,DA</t>
  </si>
  <si>
    <t>FP-WCORE-S</t>
  </si>
  <si>
    <t>4" Whelen Cencom Core-S Remote Siren</t>
  </si>
  <si>
    <t>FP-WG4RE</t>
  </si>
  <si>
    <t>3" WatchGuard 4RE</t>
  </si>
  <si>
    <t>FP-WMPC03</t>
  </si>
  <si>
    <t>FP-WPCC10W</t>
  </si>
  <si>
    <t>FP-WS295</t>
  </si>
  <si>
    <t>FP-WS295HF</t>
  </si>
  <si>
    <t>FP-WS295HFS9</t>
  </si>
  <si>
    <t>4" Whelen remote head - 295 (SLS, HFS) 295 A9 Hands-free</t>
  </si>
  <si>
    <t>FP-WSEPSL1</t>
  </si>
  <si>
    <t>FP-WSPCCS10N</t>
  </si>
  <si>
    <t>FP-WSPCCS9N</t>
  </si>
  <si>
    <t>FP-WSPCCS9RW</t>
  </si>
  <si>
    <t>FP-WTA-RAD</t>
  </si>
  <si>
    <t>3" Traffic Adviser</t>
  </si>
  <si>
    <t>AC-TICK-2</t>
  </si>
  <si>
    <t>3" face plate shallow tray; holds smartphone, keys, wallet, sunglasses, etc. 2" H.</t>
  </si>
  <si>
    <t>FP-MCP2</t>
  </si>
  <si>
    <t>2" Face plate with two mic clips</t>
  </si>
  <si>
    <t>FP-MCP2-3</t>
  </si>
  <si>
    <t>3" Face plate with two mic clips</t>
  </si>
  <si>
    <t>FP-TICK</t>
  </si>
  <si>
    <t>3" face plate pocket; for items such as ticket books. (7.25"W x 3"L x 5.2 H)</t>
  </si>
  <si>
    <t>GL-SC6060</t>
  </si>
  <si>
    <t>Insert for GL-SC6 weapon lock (for barrel or muzzle down)</t>
  </si>
  <si>
    <t>FP-BL5-VM</t>
  </si>
  <si>
    <t>FP-MAPX6500-07-R</t>
  </si>
  <si>
    <t>3" APX 6500 remote 07 head</t>
  </si>
  <si>
    <t>FP-PYRSVR200</t>
  </si>
  <si>
    <t>FP-PYRSVR250</t>
  </si>
  <si>
    <t>AC-BH(S)95</t>
  </si>
  <si>
    <t>External single beverage holder. Includes rubber fingers to keep cup stabilized.</t>
  </si>
  <si>
    <t>AC-UV20-D-PLT</t>
  </si>
  <si>
    <t>2020-25 PI Utility | 2020-25 Explorer Civilian driver and passenger side door handle cover set</t>
  </si>
  <si>
    <t>FP-2AC-2USB</t>
  </si>
  <si>
    <t>FP-ACE-K9</t>
  </si>
  <si>
    <t>FP-ARM1</t>
  </si>
  <si>
    <t xml:space="preserve">1" face plate with 2" foam pad. Bolt to console on face plate rail. </t>
  </si>
  <si>
    <t>FP-BKM150R-T</t>
  </si>
  <si>
    <t>3" Tilted faceplate BK-M150 remote radio</t>
  </si>
  <si>
    <t>FP-WCENCOMJD-T</t>
  </si>
  <si>
    <t xml:space="preserve">4" Tilted faceplate Whelen Control/Cencom </t>
  </si>
  <si>
    <t>GL-SC7009A</t>
  </si>
  <si>
    <t>Weapon lock adjustable timer (7-40 seconds)</t>
  </si>
  <si>
    <t>AC-EB-TRAY-FENCE</t>
  </si>
  <si>
    <t>FP-MOTOROLA-09</t>
  </si>
  <si>
    <t>FP-MOTOROLA09-7</t>
  </si>
  <si>
    <t>FP-MRLN4884B</t>
  </si>
  <si>
    <t>FP-XTL5000-D</t>
  </si>
  <si>
    <t>5" Dual XTL5000 one-piece 05/07</t>
  </si>
  <si>
    <t>KIT-CM-BL7-RAIL</t>
  </si>
  <si>
    <t>2021-25 Silverado cover plate and 7" face plate rail set for wide-body printer console; CC-22S1-0713OS-PRTR. Use when mounting computer to console side for stability.</t>
  </si>
  <si>
    <t>AC-BH95</t>
  </si>
  <si>
    <t>External dual beverage holder. Includes rubber fingers to keep cups stabilized.</t>
  </si>
  <si>
    <t>AC-INBHG</t>
  </si>
  <si>
    <t>4" internal dual beverage holder. Includes rubber fingers to keep cup stabilized.</t>
  </si>
  <si>
    <t>FP-ARM</t>
  </si>
  <si>
    <t xml:space="preserve">2" face plate with 2" foam pad. Bolt to console on face plate rail. </t>
  </si>
  <si>
    <t>FP-BOX</t>
  </si>
  <si>
    <t>5" Open storage box for bolting inside long console. (uses 5" of face plate mounting area and is 5.35" tall)</t>
  </si>
  <si>
    <t>KIT-CM-25TH-BL07-RAIL</t>
  </si>
  <si>
    <t>2025 Tahoe wide-body open-storage cover plate and notched rail kit. Use when mounting computer to the side of the console.</t>
  </si>
  <si>
    <t>KIT-CM-BL10-RAIL</t>
  </si>
  <si>
    <t>2021-24 Tahoe | 2021-24 Suburban cover plate and 10" FP rail set for wide-body printer console; CC-21TH-1008-OS-L. Use when mounting computer to console side for stability.</t>
  </si>
  <si>
    <t>AC-MAG-MIC</t>
  </si>
  <si>
    <t>Magnetic Mic holder quickly guides the microphone into place</t>
  </si>
  <si>
    <t>FP-RAK9TEMP</t>
  </si>
  <si>
    <t>FP-SPKRBKT-6</t>
  </si>
  <si>
    <t>FP-T-XTL5000-4</t>
  </si>
  <si>
    <t>FP-XTL2500-D</t>
  </si>
  <si>
    <t>5" Dual XTL2500 remote head 05/07</t>
  </si>
  <si>
    <t>FP-MNNTN7618B-D</t>
  </si>
  <si>
    <t>FP-NTN9176B</t>
  </si>
  <si>
    <t>FP-NTN9176B-D</t>
  </si>
  <si>
    <t>AC-AP3</t>
  </si>
  <si>
    <t>External mounted L-bracket with three DC outlet holes pre-punched; includes three 12V DC outlets</t>
  </si>
  <si>
    <t>AC-LL12</t>
  </si>
  <si>
    <t>12" Gooseneck map light (comes out from housing end)</t>
  </si>
  <si>
    <t xml:space="preserve">FP-W-ARGES-USBDC </t>
  </si>
  <si>
    <t>4" FP, Whelen Arges Spotlight remote with 2-DC outlets and dual USB port. Works with USBC outlets.</t>
  </si>
  <si>
    <t>FP-USBC-2</t>
  </si>
  <si>
    <t xml:space="preserve">2" face plate with two USB-C 4 amp and USB 3 amp port </t>
  </si>
  <si>
    <t>AC-LL-L912</t>
  </si>
  <si>
    <t>12" Gooseneck map light (comes out from top of housing)</t>
  </si>
  <si>
    <t>AC-PHMAG</t>
  </si>
  <si>
    <t xml:space="preserve">Magnetic phone mount; includes two mounting disc and two device plates </t>
  </si>
  <si>
    <t>AC-LL18</t>
  </si>
  <si>
    <t>18" Gooseneck map light (comes out from housing end)</t>
  </si>
  <si>
    <t>FP-ARM3</t>
  </si>
  <si>
    <t xml:space="preserve">3" face plate with 2" foam pad. Bolt to console on face plate rail. </t>
  </si>
  <si>
    <t>FP-ARM4</t>
  </si>
  <si>
    <t xml:space="preserve">4" face plate with 3" leather pad. Bolt to console on face plate rail. </t>
  </si>
  <si>
    <t>FP-USBC-2DC</t>
  </si>
  <si>
    <t>2" face plate combo USB-C/USB port and two DC outlets</t>
  </si>
  <si>
    <t>AC-LT-SCR</t>
  </si>
  <si>
    <t>Laptop screen holder. Compatible with TROY laptop trays.</t>
  </si>
  <si>
    <t>AC-LL-L918</t>
  </si>
  <si>
    <t>18" Gooseneck map light (comes out from top of housing)</t>
  </si>
  <si>
    <t>AC-TICK7-LP</t>
  </si>
  <si>
    <t>7" face plate shallow tray; holds smartphone, keys, wallet, sunglasses, etc. 3.4" H.</t>
  </si>
  <si>
    <t>GM-B-SC1-BKT</t>
  </si>
  <si>
    <t>Bracket for shotgun lock (Santa Cruz, Overland, Big Sky)</t>
  </si>
  <si>
    <t>GM-B-SC5-BKT</t>
  </si>
  <si>
    <t>Bracket for universal gun lock (SC-5-XL, SC-6 by Santa Cruz)</t>
  </si>
  <si>
    <t>KIT-CM-25TH-BL07-WALL-RAIL</t>
  </si>
  <si>
    <t>2025 Tahoe wide-body open-storage bulkhead wall, cover plate and notched rail kit. Use when mounting computer to console side for stability.</t>
  </si>
  <si>
    <t>KIT-CM-BL10-WALL-RAIL</t>
  </si>
  <si>
    <t>2021-24 Tahoe | 2021-24 Suburban wide-body open-storage bulkhead wall and cover plate kit. Use when mounting computer to console side for stability.</t>
  </si>
  <si>
    <t>AC-PHMNT-MAG</t>
  </si>
  <si>
    <t xml:space="preserve">Cradle magnetic phone mount; includes two mounting disc </t>
  </si>
  <si>
    <t>FP-USB-4DC</t>
  </si>
  <si>
    <t>2" face plate with dual USB-C 4 amp and four DC outlets. Works with USBC outlets. (Includes electronics)</t>
  </si>
  <si>
    <t>GM-B-SC1AR-BKT</t>
  </si>
  <si>
    <t>Bracket for AR gun lock (Santa Cruz, Overland, Big Sky)</t>
  </si>
  <si>
    <t>AC-INTSBH</t>
  </si>
  <si>
    <t>4" internal single beverage holder. Includes rubber fingers to keep cup stabilized. Features three (3) DC capped outlets.</t>
  </si>
  <si>
    <t>AC-PENPAD</t>
  </si>
  <si>
    <t>Leather pad, 2" x 11" x 8.8" for AC-FILELOCK or AC-FILEBOX or other lid sizes</t>
  </si>
  <si>
    <t>AC-SIDEARM-6</t>
  </si>
  <si>
    <t>6" x 2" leather arm pad on 5" tall L bracket. Bolts to console side or rear.</t>
  </si>
  <si>
    <t>GM-B-OP-SC5-BKT</t>
  </si>
  <si>
    <t>Off-set bracket for universal hand-cuff style gun lock (Santa Cruz).  More room for optics on rifle.</t>
  </si>
  <si>
    <t>AC-MAP-PAD</t>
  </si>
  <si>
    <t>Leather pad, 2" x 13.75" x 10.8" for AC-MAPFILE or other lid sizes</t>
  </si>
  <si>
    <t>AC-20-UV-PS</t>
  </si>
  <si>
    <t>RP-AC-UNIV-FX-BKT</t>
  </si>
  <si>
    <t xml:space="preserve">Universal fire extinguisher mounting bracket for rear partition </t>
  </si>
  <si>
    <t>Universal fire extinguisher mounting bracket for rear partition</t>
  </si>
  <si>
    <t>WS-21F150-PS</t>
  </si>
  <si>
    <t>AC-20-UV-CGP2-OR</t>
  </si>
  <si>
    <t>AC-EXP18-PS</t>
  </si>
  <si>
    <t>AC-21DUR-RGP2</t>
  </si>
  <si>
    <t xml:space="preserve">2021-25 Dodge Durango rear cage airbag corridor gap panels, set of driver and passenger sides                </t>
  </si>
  <si>
    <t>AC-CP-20XP-FLR-GP</t>
  </si>
  <si>
    <t>AC-FHDPAD</t>
  </si>
  <si>
    <t>Leather pad, 2" x 13" x 13" for AC-FHDFB file box or other lid sizes</t>
  </si>
  <si>
    <t>AC-LL12-LED</t>
  </si>
  <si>
    <t>12" LED gooseneck map light</t>
  </si>
  <si>
    <t>AC-CH11TT-50</t>
  </si>
  <si>
    <t>2020-24 Charger 3-piece height adjustable mounting brackets for AC-TRAY-CH50 half-size tray</t>
  </si>
  <si>
    <t>AC-LL18-LED</t>
  </si>
  <si>
    <t>18" LED gooseneck map light</t>
  </si>
  <si>
    <t>AC-SIDEARM-9</t>
  </si>
  <si>
    <t>9" x 3" molded foam arm pad on 5" tall L bracket. Bolts to console side or rear.</t>
  </si>
  <si>
    <t>AC-21TH-RGP2</t>
  </si>
  <si>
    <t xml:space="preserve">2021-25 Tahoe rear cage airbag corridor gap panels, set of driver and passenger sides                </t>
  </si>
  <si>
    <t>AC-20-UV-CGP2-PTS</t>
  </si>
  <si>
    <t>AC-SIDEARM-12</t>
  </si>
  <si>
    <t>12" x 2" leather arm pad on 5" tall L bracket. Bolts to console side or rear wall of wide-body consoles.</t>
  </si>
  <si>
    <t>HW-FHDFB-GS</t>
  </si>
  <si>
    <t>Hardware kit implements gas shock to box AC-FHDFB and AC-FHDFB-L</t>
  </si>
  <si>
    <t>AC-3RBINDER</t>
  </si>
  <si>
    <t>External holder for storing 3-ring binders; Open top container; bolts to console. (10.5"W x 4"L x 8.5"H)</t>
  </si>
  <si>
    <t>AC-NIDA-90</t>
  </si>
  <si>
    <t>External open-top three-sided clipboard storage box; bolts to console rear. (9.3"W x 6.5"L x 8.5"H)</t>
  </si>
  <si>
    <t>FD-DH-GLOVBOX</t>
  </si>
  <si>
    <t>Rubber-glove box container. Can be bolted to any flat surface. (10.5"W x 5.1"L x 3.5"H)</t>
  </si>
  <si>
    <t>KP-FTV-F</t>
  </si>
  <si>
    <t>2020-25 Transit XLT Van front cage lower flat kick panel</t>
  </si>
  <si>
    <t>AC-MCBHPKT</t>
  </si>
  <si>
    <t>Externally mounted dual beverage holder/posse book combination.</t>
  </si>
  <si>
    <t>GL-SC1</t>
  </si>
  <si>
    <t>Shotgun lock with No. 2 key</t>
  </si>
  <si>
    <t>WG-21F150-PS</t>
  </si>
  <si>
    <t>AC-20-FDUV-MNT</t>
  </si>
  <si>
    <t>2020-25 PI Utility console floor mount used with universal consoles ONLY.</t>
  </si>
  <si>
    <t>WG-20-FDUV-H-PS</t>
  </si>
  <si>
    <t>AC-20-UV-HATCH</t>
  </si>
  <si>
    <t>2020-25 PI Utility | 2020-25 Explorer Civilian hatch window screen; square-hole punched</t>
  </si>
  <si>
    <t>AC-CH11TT-38</t>
  </si>
  <si>
    <t>2020-24 Charger 4-piece height adjustable mounting brackets for AC-TRAY-38 full-size tray</t>
  </si>
  <si>
    <t>AC-GUNBOX-6</t>
  </si>
  <si>
    <t>6" Lidded locking internal storage box. (7.5"W x 6"L x 5.25"H)</t>
  </si>
  <si>
    <t>AC-GUNBOX-6-LP</t>
  </si>
  <si>
    <t>6" internal lidded locking low-profile internal storage box (may not accommodate handgun) 3.6" H.</t>
  </si>
  <si>
    <t>WG-20-FDUV-PS</t>
  </si>
  <si>
    <t>WG-EXP18-PS</t>
  </si>
  <si>
    <t>WG-UV20-POLY-PS</t>
  </si>
  <si>
    <t>AC-GUNBOX</t>
  </si>
  <si>
    <t>8" Lidded locking internal storage box. (7.5"W x 8"L x 5.6"H)</t>
  </si>
  <si>
    <t>WG-UV20-225-PS</t>
  </si>
  <si>
    <t>WS-21TH-PS</t>
  </si>
  <si>
    <t>AC-SB-CHV19-MNT</t>
  </si>
  <si>
    <t>2019-25 Silverado 1500, under seat storage box mount brackets - Use box CP-T-US-D-BOX</t>
  </si>
  <si>
    <t>SB-UV20-BKT</t>
  </si>
  <si>
    <t xml:space="preserve">2020-25 PI Utility ECO Line cargo mounting brackets </t>
  </si>
  <si>
    <t>FP-LOCKBOX4</t>
  </si>
  <si>
    <t>4" Internal lidded lock box with 2" leather arm pad. (7.5"W x 4"L x 5.25"H)</t>
  </si>
  <si>
    <t>GL-SC1-B-RF</t>
  </si>
  <si>
    <t>Shotgun lock with special insert to grab weapon at barrel</t>
  </si>
  <si>
    <t>AC-DUR18-HATCH</t>
  </si>
  <si>
    <t>2018-25 Durango SSV hatch window screen; square-hole punched</t>
  </si>
  <si>
    <t>WS-20UV-HATCH-LED</t>
  </si>
  <si>
    <t>2020-25 PI Utility | 2020-25 Explorer Civilian hatch window; square-hole punch with notch to accommodate the READY FOR ROAD PACKAGE</t>
  </si>
  <si>
    <t>AC-GUNBOX-9</t>
  </si>
  <si>
    <t>9" Lidded locking internal storage box. (7.5"W x 9"L x 5.6"H)</t>
  </si>
  <si>
    <t>FP-LOCKBOX6</t>
  </si>
  <si>
    <t>6" Internal lidded lock box with 2" leather arm pad. (7.5"W x 6"L x 5.25"H)</t>
  </si>
  <si>
    <t>AC-GUNBOX-10-LP</t>
  </si>
  <si>
    <t>10" internal lidded locking low-profile storage box with CAM lock tab (can accommodate handgun)  3.6" H.</t>
  </si>
  <si>
    <t>AC-GUNBOX-LP</t>
  </si>
  <si>
    <t>8" internal lidded locking low-profile storage box (might accommodate handgun) 3.6" H.</t>
  </si>
  <si>
    <t>KP-DG25-SS</t>
  </si>
  <si>
    <t>2020-25 Ram kick panel 3 piece lower extension panel.</t>
  </si>
  <si>
    <t>AC-PLS-TP-20-FDUV</t>
  </si>
  <si>
    <t xml:space="preserve">2020-25 PI Utility bolt-on polycarbonate panel for TP-20-FDUV-R </t>
  </si>
  <si>
    <t>WS-21DUR-HATCH-LED</t>
  </si>
  <si>
    <t>2021-25 Durango SSV hatch window screen; square-hole punched with notch to accommodate interior light bar</t>
  </si>
  <si>
    <t>AC-DG4500-WB</t>
  </si>
  <si>
    <t>KP-CHV19-SS</t>
  </si>
  <si>
    <t>2019-25 Silverado 3 piece. Kick panel assembly. No foot pockets.</t>
  </si>
  <si>
    <t>AC-DG4500MNT</t>
  </si>
  <si>
    <t>2020-25 Ram truck console floor mount; for bucket seat; compatible with standard consoles.</t>
  </si>
  <si>
    <t>AC-F150-15</t>
  </si>
  <si>
    <t>2020-25 F150 | 2020-25 F250 | 2020-25 F350 console floor mount. For applications where center seat is removed.</t>
  </si>
  <si>
    <t>CC-LP-8</t>
  </si>
  <si>
    <t>Universal 8" low profile accessory console. Works well with sunglass tray (FP-SGTRAY) and beverage holder (AC-INBHG)</t>
  </si>
  <si>
    <t>FP-PHNMNT</t>
  </si>
  <si>
    <t>2" face plate with phone cradle and mount; one USB-C 4 amp and USB 3 amp port</t>
  </si>
  <si>
    <t>AC-FTV-H-SD-FW</t>
  </si>
  <si>
    <t>2020-25 Transit XLT Van window screen; diamond punched; hinged front side door</t>
  </si>
  <si>
    <t>AC-FTV-H-SD-RW</t>
  </si>
  <si>
    <t>2020-25 Transit XLT Van window screen; diamond punched; hinged rear side door</t>
  </si>
  <si>
    <t>AC-FTV-RD-DS</t>
  </si>
  <si>
    <t>2020-25 Transit XLT Van window screen; diamond punched; driver side rear door</t>
  </si>
  <si>
    <t>AC-FTV-RD-PS</t>
  </si>
  <si>
    <t>KP-F150-15-SS</t>
  </si>
  <si>
    <t xml:space="preserve">2018-25 Expedition 3 piece kick panel assembly. No foot pockets. </t>
  </si>
  <si>
    <t xml:space="preserve">2015-25 F150 | 2021-25 F250 3 piece kick panel assembly. No foot pockets. </t>
  </si>
  <si>
    <t>AC-MC-LOCK</t>
  </si>
  <si>
    <t xml:space="preserve">External lidded lock box with 2" arm pad. (8.5"W x 5"L x 8.25"H with 2x7 foam pad on lid) </t>
  </si>
  <si>
    <t>WS-21TH-HATCH</t>
  </si>
  <si>
    <t>2021-25 Tahoe | 2021-24 Suburban hatch window screen; square-hole punched</t>
  </si>
  <si>
    <t>FM-21TH</t>
  </si>
  <si>
    <t>2021-25 Tahoe | 2021-24 Suburban floor mount compatible standard and wide-body consoles.</t>
  </si>
  <si>
    <t>WG-21TH-PL-PS</t>
  </si>
  <si>
    <t>WG-21TH-PS</t>
  </si>
  <si>
    <t>GL-SC1/AR</t>
  </si>
  <si>
    <t>AR15 weapon lock with No. 2 key</t>
  </si>
  <si>
    <t>GL-SC1/ARH</t>
  </si>
  <si>
    <t>AR15 weapon lock designed to accommodate handcuff key (key by others)</t>
  </si>
  <si>
    <t>AC-DG2500-RWS</t>
  </si>
  <si>
    <t>2020-25 Ram rear cab window screen; diamond punched.</t>
  </si>
  <si>
    <t>AC-DG4500FS-MNT</t>
  </si>
  <si>
    <t>2020-25 Ram truck console floor mount; notched to fit around 4x4 floor shifter; does not work with OEM beverage holder.</t>
  </si>
  <si>
    <t>AC-F150-15-MNT</t>
  </si>
  <si>
    <t>AC-F-FTV-MNT</t>
  </si>
  <si>
    <t>2020-25 Transit XLT Van console floor mount.</t>
  </si>
  <si>
    <t>AC-CHV19-MNT</t>
  </si>
  <si>
    <t>2019-25 Silverado 1500 | 2020-25 Silverado 2500 console floor mount. Works with wide-body and standard width consoles.</t>
  </si>
  <si>
    <t>AC-TB-ARMMNT-58</t>
  </si>
  <si>
    <t xml:space="preserve">Console mounted height adjustable arm rest with 5 x 8 pad. </t>
  </si>
  <si>
    <t>WG-21F150-POLY-PS</t>
  </si>
  <si>
    <t>AC-EXP18-HATCH</t>
  </si>
  <si>
    <t>2018-25  Expedition hatch window screen; square-hole punched</t>
  </si>
  <si>
    <t>AC-TB-ARM</t>
  </si>
  <si>
    <t>Height-adjustable arm rest with 5 x 8 pad. Bolts to floor plate.</t>
  </si>
  <si>
    <t>AC-UV20-HC</t>
  </si>
  <si>
    <t>2020-25 PI Utility adjustable harness cover made for vehicle-specific consoles. Only for vehicles that includes the OEM wire harness cover.</t>
  </si>
  <si>
    <t>AC-F150-15-RWS</t>
  </si>
  <si>
    <t>2021-25 F150 | 2021-25 F250 Truck cab window screen; diamond-punched.</t>
  </si>
  <si>
    <t>AC-TB-ARMMNT-XL</t>
  </si>
  <si>
    <t xml:space="preserve">Console mounted height adjustable arm rest with 5 x 10 pad.  </t>
  </si>
  <si>
    <t>AC-TB-ARM-XL</t>
  </si>
  <si>
    <t>Height-adjustable arm rest with 5 x 10 pad. Bolts to floor plate.</t>
  </si>
  <si>
    <t>KP-20-FDUV-SS</t>
  </si>
  <si>
    <t xml:space="preserve">2020-25 PI Utility | 2020-25 Explorer Civilian 3 piece kick panel with foot pockets. </t>
  </si>
  <si>
    <t xml:space="preserve">KP-UV20-DAP-SS </t>
  </si>
  <si>
    <t>2020-25 PI Utility | 2020-25 Explorer Civilian 3 piece. Kick panel with foot pockets. Use with Big-Boy mount.</t>
  </si>
  <si>
    <t>KP-UV20-DAP-SS-N</t>
  </si>
  <si>
    <t xml:space="preserve">2020-25 PI Utility | 2020-25 Explorer Civilian 3 piece. Kick panel with foot pockets and notch to fit over wire harness cover.  </t>
  </si>
  <si>
    <t>AC-CHV19-RWS</t>
  </si>
  <si>
    <t>2020-25 Silverado 1500 rear cab window screen; square-hole punched.</t>
  </si>
  <si>
    <t>AC-UV20-R-SET</t>
  </si>
  <si>
    <t>2020-25 PI Utility | 2020-25 Explorer Civilian driver and passenger side cargo area square-punch window guards</t>
  </si>
  <si>
    <t>AC-CH11T-DS</t>
  </si>
  <si>
    <t>2020-24 Charger driver-side wheel-well flip-down electronics tray (21.7"W x 18.93"H)</t>
  </si>
  <si>
    <t>AC-CH11T-PS</t>
  </si>
  <si>
    <t>2020-24 Charger passenger-side wheel-well flip-down electronics tray (21.75"W x 19"H)</t>
  </si>
  <si>
    <t>KP-BFDUR-SS</t>
  </si>
  <si>
    <t>KP-CH11BF-F</t>
  </si>
  <si>
    <t>2020-24 Charger flat kick panel with foot pockets.</t>
  </si>
  <si>
    <t>KP-CH11BF-SS</t>
  </si>
  <si>
    <t>2020-24 Charger 3 piece kick panel assembly with foot pockets.</t>
  </si>
  <si>
    <t>KP-SM-CHBB-SS</t>
  </si>
  <si>
    <t>2020-24 Charger 3 piece Straight-Frame space maker "big-boy" kick panel assembly with foot pockets.</t>
  </si>
  <si>
    <t>KP-SM-DURBF-SS</t>
  </si>
  <si>
    <t>KP-20-BFUV-SS</t>
  </si>
  <si>
    <t>2020-25 PI Utility bent-frame 3 piece kick panel with foot pocket on driver side only.</t>
  </si>
  <si>
    <t xml:space="preserve">AC-CP-WSWB-LT </t>
  </si>
  <si>
    <t>Laptop tray designed to mount to work surface of command post CP-GB4030-TV-WSWB</t>
  </si>
  <si>
    <t>PB-UNIV-UPRLRG-WTA</t>
  </si>
  <si>
    <t xml:space="preserve">Front bumper add-on winch tray; accommodates up to 9,500lbs </t>
  </si>
  <si>
    <t>WS-24SEV-R</t>
  </si>
  <si>
    <t>2024 Silverado EV diamond punched rear cab window screen</t>
  </si>
  <si>
    <t>GL-SC-6</t>
  </si>
  <si>
    <t>Universal weapon lock</t>
  </si>
  <si>
    <t>GL-SC6/H</t>
  </si>
  <si>
    <t>Universal weapon lock designed to work with handcuff key (key by others)</t>
  </si>
  <si>
    <t>KP-21DUR-SS</t>
  </si>
  <si>
    <t>KP-21TH-BF-SS</t>
  </si>
  <si>
    <t>2021-25 Tahoe | 2021-24 Suburban 3 piece Bent-Frame space maker kick panel assembly. Foot pocket behind driver only.</t>
  </si>
  <si>
    <t>KP-21TH-SS</t>
  </si>
  <si>
    <t>2021-25 Tahoe | 2021-24 Suburban 3 piece kick panel with foot pockets.</t>
  </si>
  <si>
    <t>AC-20-UV-SET</t>
  </si>
  <si>
    <t>2020-25 PI Utility | 2020-25 Explorer Civilian driver and passenger side set of diamond-punched window screens</t>
  </si>
  <si>
    <t>AC-CH11-SET</t>
  </si>
  <si>
    <t>2020-24 Charger driver and passenger side diamond-punched window guards</t>
  </si>
  <si>
    <t>AC-DG2500-SET</t>
  </si>
  <si>
    <t>2020-25 Ram driver and passenger side diamond-punched window guards</t>
  </si>
  <si>
    <t>AC-WB-BOX11</t>
  </si>
  <si>
    <t>External open-top storage box for wide-body console. (13.24"W x 11"L x 7.5"H)</t>
  </si>
  <si>
    <t>WS-21F150-SET</t>
  </si>
  <si>
    <t>2021-25 F150 | 2021-25 F250 driver and passenger side set of diamond-punched window screens</t>
  </si>
  <si>
    <t>WS-21TH-R-SET</t>
  </si>
  <si>
    <t>2021-25 Tahoe driver and passenger side cargo window screens</t>
  </si>
  <si>
    <t>AC-CHV19-SET</t>
  </si>
  <si>
    <t>2019-25 Silverado 1500 driver and passenger side diamond-punch window screens</t>
  </si>
  <si>
    <t>AC-DUR18-SET</t>
  </si>
  <si>
    <t>AC-EXP18-SET</t>
  </si>
  <si>
    <t>2018-25 Expedition driver and passenger side diamond-punch window guard set</t>
  </si>
  <si>
    <t>AC-FHDBOX-6</t>
  </si>
  <si>
    <t>External lidded and lockable storage box. (13.25"W x 75"L x 6"H)</t>
  </si>
  <si>
    <t>WS-20UV-HATCH-RP</t>
  </si>
  <si>
    <t>2020-25 PI Utility | 2020-25 Explorer Civilian detachable hatch window; square-hole punch with fasteners for ease of cleaning window.</t>
  </si>
  <si>
    <t>WS-21DUR-HATCH-RP</t>
  </si>
  <si>
    <t>2021-25 Durango SSV detachable hatch window;  square-hole punch with fasteners for ease of cleaning window.</t>
  </si>
  <si>
    <t>AC-FILE-7P</t>
  </si>
  <si>
    <t>External shortened storage box with hinged lid. (8.86"W x 7"L x 10.87"H with 5x8 foam pad on lid)</t>
  </si>
  <si>
    <t>AC-GUNBOX-10-CL</t>
  </si>
  <si>
    <t>10" internal lidded locking low-profile storage box with combination push button lock and key (can accommodate handgun).</t>
  </si>
  <si>
    <t>KP-24SEV-SS</t>
  </si>
  <si>
    <t>2024 Silverado EV 3 piece kick panels SS</t>
  </si>
  <si>
    <t>SB-20-XPLR-BKT</t>
  </si>
  <si>
    <t>2020-25 Explorer Civilian Eco line cargo mounting brackets</t>
  </si>
  <si>
    <t>WS-21TH-HATCH-RP</t>
  </si>
  <si>
    <t>2021-25 Tahoe detachable hatch window; square-hole punch with fasteners for ease of cleaning window</t>
  </si>
  <si>
    <t>AC-20UV-TRAY-LM</t>
  </si>
  <si>
    <t>2020-25 PI Utility electronics tray locking mechanism. Pair with AC-20-UV-TRAY and CP-UV20-CARGO</t>
  </si>
  <si>
    <t>AC-EXP18-R-SET</t>
  </si>
  <si>
    <t>2018-25  Expedition driver and passenger side cargo area square-punch window guards</t>
  </si>
  <si>
    <t>WG-FTV-H-SD-FW</t>
  </si>
  <si>
    <t>2020-25 Transit XLT Van window guard, vertical bar; hinged front side door</t>
  </si>
  <si>
    <t>WG-FTV-H-SD-RW</t>
  </si>
  <si>
    <t>2020-25 Transit XLT Van window guard, vertical bar; hinged rear side door</t>
  </si>
  <si>
    <t>WG-FTV-RD-DS</t>
  </si>
  <si>
    <t>2020-25 Transit XLT Van window guard, vertical bar; driver side rear door</t>
  </si>
  <si>
    <t>WG-FTV-RD-PS</t>
  </si>
  <si>
    <t>AC-21TH-EB-COVER</t>
  </si>
  <si>
    <t>AC-STOW-878</t>
  </si>
  <si>
    <t>Driver side flip-up writing surface with paper pad clip; for open storage consoles.</t>
  </si>
  <si>
    <t>AC-STOW-WS</t>
  </si>
  <si>
    <t>Driver side flip-up writing surface with paper pad clip; for consoles without open storage.</t>
  </si>
  <si>
    <t>AC-20-UV-TRAY</t>
  </si>
  <si>
    <t>2020-25 PI Utility electronics tray bolts to CP-UV20-CARGO</t>
  </si>
  <si>
    <t>AC-21DUR-TRAY</t>
  </si>
  <si>
    <t>2021-25 Durango Electronic Storage Tray. Compatible with CP-21DURCG-MNT and CP-DG-CG-MNT</t>
  </si>
  <si>
    <t>CP-20UV-RD-LOCK</t>
  </si>
  <si>
    <t>DP-CH11-SET</t>
  </si>
  <si>
    <t>2020-24 Charger driver and passenger side door panel set</t>
  </si>
  <si>
    <t>DP-F150-15-SET</t>
  </si>
  <si>
    <t>2020-25 F150 | 2017-25 F250 driver and passenger side door panel set</t>
  </si>
  <si>
    <t>DC-21TH-SET</t>
  </si>
  <si>
    <t>2021-25 Tahoe driver and passenger side door covers; for passenger side only divide cost of full set in half for MSRP</t>
  </si>
  <si>
    <t>DC-DUR18-SET</t>
  </si>
  <si>
    <t>2018-25 Durango driver and passenger side plastic door covers</t>
  </si>
  <si>
    <t>CC-OH-CHV19</t>
  </si>
  <si>
    <t>2019-25 Silverado overhead console with option to mount 3" or 4" faceplate; Includes 4" and 3" faceplate rails</t>
  </si>
  <si>
    <t>WS-21SB-SQRPCH-REAR</t>
  </si>
  <si>
    <t>2021-24 Suburban rear driver and passenger side cargo window screens</t>
  </si>
  <si>
    <t>WG-20-FDUV-H-SET</t>
  </si>
  <si>
    <t xml:space="preserve">2020-25 PI Utility | 2020-25 Explorer Civilian driver and passenger side window guards; Horizontal welded bars design </t>
  </si>
  <si>
    <t>WG-21F150-SET</t>
  </si>
  <si>
    <t>2021-25 F150 | 2021-25 F250 driver and passenger side window guards, welded bars, vertical design</t>
  </si>
  <si>
    <t>WG-CH11H-SET</t>
  </si>
  <si>
    <t xml:space="preserve">2020-24 Charger driver and passenger side window guards, welded bars, horizontal design </t>
  </si>
  <si>
    <t>WG-CH11-SET</t>
  </si>
  <si>
    <t>2020-24 Charger driver and passenger side window guards, welded bars, vertical design</t>
  </si>
  <si>
    <t>SP-UV20-4</t>
  </si>
  <si>
    <t xml:space="preserve">2020-25 Ford Explorer Civilian 4" insert mount for dashboard </t>
  </si>
  <si>
    <t>WG-20-FDUV-SET</t>
  </si>
  <si>
    <t>2020-25 PI Utility | 2020-25 Explorer Civilian driver and passenger side window guards, welded bars, vertical design</t>
  </si>
  <si>
    <t>GM-SGL-SC</t>
  </si>
  <si>
    <t>Universal single weapon mount for single-cell. Compatible with Ford PIU, F150 and Tahoe.</t>
  </si>
  <si>
    <t>DP-DUR18-SET</t>
  </si>
  <si>
    <t xml:space="preserve">2018-25 Durango SSV driver and passenger side door panel set </t>
  </si>
  <si>
    <t>DP-UV20-SET</t>
  </si>
  <si>
    <t>2020-25 PI Utility | 2020-25 Explorer Civilian driver and passenger side door panel set</t>
  </si>
  <si>
    <t>WG-DUR18-SET</t>
  </si>
  <si>
    <t>WG-EXP18-SET</t>
  </si>
  <si>
    <t>2018-25 Expedition driver and passenger side vertical bar window guards</t>
  </si>
  <si>
    <t>2-SAB-CH11</t>
  </si>
  <si>
    <t>2020-24 Charger standard partition mounting kit. Drilling required.</t>
  </si>
  <si>
    <t>2-SAB-CH11-BB</t>
  </si>
  <si>
    <t>2020-24 Charger 'Big-Boy' partition mounting kit for straight-frame space-maker partition.</t>
  </si>
  <si>
    <t>2-SAB-DG-RAM</t>
  </si>
  <si>
    <t>2020-25 Ram Crew Cab Truck partition mounting kit.</t>
  </si>
  <si>
    <t>AC-FILEBOX</t>
  </si>
  <si>
    <t>External lidded box for letter size Penda flex hanging folders. (8.86"W x 13.25"L x 10.8"H)</t>
  </si>
  <si>
    <t>AC-FILEBOX-9</t>
  </si>
  <si>
    <t>External non-locking lidded box for storage. (8.86"W x 9"L x 10.8"H)</t>
  </si>
  <si>
    <t>AC-FILEBOX9-WB</t>
  </si>
  <si>
    <t>External box for wide-body consoles to hang letter size hanging files. (13.24"W x 9"L x 10.8"H)</t>
  </si>
  <si>
    <t>AC-FTV-D-FW</t>
  </si>
  <si>
    <t>2020-25 Transit XLT Van window screen; diamond punched; driver front side</t>
  </si>
  <si>
    <t>AC-FTV-D-RW</t>
  </si>
  <si>
    <t>2020-25 Transit XLT Van window screen; diamond punched; driver rear side</t>
  </si>
  <si>
    <t>AC-FTV-P-RW</t>
  </si>
  <si>
    <t>2020-25 Transit XLT Van window screen; diamond punched; passenger side rear window</t>
  </si>
  <si>
    <t>AC-FTV-SL-DOOR</t>
  </si>
  <si>
    <t xml:space="preserve">2020-25 Transit XLT Van window screen; diamond punched; side sliding door </t>
  </si>
  <si>
    <t>AC-PENPRTR-90</t>
  </si>
  <si>
    <t>Printer mount with 5 x 8 pad and low-profile L bracket (AC-PENPRTR-90, AC-FOAM-58)</t>
  </si>
  <si>
    <t>GM-SGRF-MNT</t>
  </si>
  <si>
    <t>Dual weapon mount with adjustability and no access to weapon lock wires. Weapon locks sold separately.</t>
  </si>
  <si>
    <t>PM-21TH</t>
  </si>
  <si>
    <t>2021-25 Tahoe | 2021-24 Suburban | 2022-25 Silverado 1500 partition mount. Extra seat-back recline. 100% seat slide.</t>
  </si>
  <si>
    <t>2022-25 Chevy Silverado 1500 partition mount. Extra seat-back recline. 100% seat slide.</t>
  </si>
  <si>
    <t>PM-21TH-BF</t>
  </si>
  <si>
    <t>2021-25 Tahoe | 2021-24 Suburban | 2022-25 Silverado Bent-Frame space maker partition mount. Limited seat slide.</t>
  </si>
  <si>
    <t>PM-24SEV</t>
  </si>
  <si>
    <t>2024 Silverado EV standard front partition mount</t>
  </si>
  <si>
    <t>CC-OH-EXP18-7</t>
  </si>
  <si>
    <t>DP-CHV19-SET</t>
  </si>
  <si>
    <t>2019-25 Silverado driver and passenger side door panel set</t>
  </si>
  <si>
    <t>WG-UV20-POLY-SET</t>
  </si>
  <si>
    <t>2020-25 PI Utility | 2020-25 Explorer Civilian driver and passenger side polycarbonate window guards</t>
  </si>
  <si>
    <t>CC-21TH-OH-7</t>
  </si>
  <si>
    <t>2021-25 Tahoe | 2021-24 Suburban 7" overhead console. Replaces OEM dome light module. Remote heads only.</t>
  </si>
  <si>
    <t>CP-21TH-MNT-EB</t>
  </si>
  <si>
    <t>CP-UV20-MNT-EB</t>
  </si>
  <si>
    <t>2020-25 PI Utility cargo elevated box mount (box can be bolted on top) &gt;  Works with 44"W x 6" H / 40"W x 14"H; Any depth greater than 24” will have an overhang. Depths greater than 30” are not advised</t>
  </si>
  <si>
    <t>DP-EXP18-SET</t>
  </si>
  <si>
    <t>2018-25 Expedition driver and passenger side steel door panel set</t>
  </si>
  <si>
    <t>2-SAB-FTV-H</t>
  </si>
  <si>
    <t>2020-25 Transit XLT Van front Cage Mounting kit.</t>
  </si>
  <si>
    <t>WS-21TH-SET</t>
  </si>
  <si>
    <t xml:space="preserve">2021-25 Tahoe driver and passenger side window screens, diamond-punched design </t>
  </si>
  <si>
    <t>WS-24SEV-SET</t>
  </si>
  <si>
    <t>2024 Silverado EV driver and passenger side diamond punched window screen set</t>
  </si>
  <si>
    <t>WG-UV20-225-SET</t>
  </si>
  <si>
    <t>2020-25 PI Utility | 2020-25 Explorer Civilian driver and passenger side window guards; 2.25" spaced vertical welded bars.</t>
  </si>
  <si>
    <t>DP-DG2500-SET</t>
  </si>
  <si>
    <t>2020-25 Ram driver and passenger side door panel set</t>
  </si>
  <si>
    <t>PM-21F150</t>
  </si>
  <si>
    <t>CC-OH-DUR18</t>
  </si>
  <si>
    <t xml:space="preserve">2018-25 Durango overhead console, 7" for remote head radio and siren </t>
  </si>
  <si>
    <t>SB-21TH-2635-MNT</t>
  </si>
  <si>
    <t>2021-25 Tahoe half-width cargo mount, moves vaults to the passenger-side for better battery access (works with ECO line SB-ECO-2D-2635-GP)</t>
  </si>
  <si>
    <t>DP-21TH-SET</t>
  </si>
  <si>
    <t>2021-25 Tahoe driver and passenger side door panel set</t>
  </si>
  <si>
    <t>40”W x 30”L universal bed slide accessory tray</t>
  </si>
  <si>
    <t>DP-24SEV-SET</t>
  </si>
  <si>
    <t>2024 Silverado EV driver and passenger side door panel set</t>
  </si>
  <si>
    <t>GM-20UV-SGL</t>
  </si>
  <si>
    <t>2020-25 PI Utility free standing single weapon mount. Weapon locks sold separately.</t>
  </si>
  <si>
    <t>AC-PENPRTR-L-510</t>
  </si>
  <si>
    <t>Printer mount with 5 x 10 pad and low-profile L-bracket (AC-PENPRTR-90, AC-FOAM-510)</t>
  </si>
  <si>
    <t>CC-21TH-TRAY-10</t>
  </si>
  <si>
    <t>2021-24 Tahoe Civilian 10" console insert. Compatible with AC-GUNBOX-10-LP, low-profile box.</t>
  </si>
  <si>
    <t>KT-GM-SGL-SC1</t>
  </si>
  <si>
    <t>Single weapon mount with SC1 lock and brackets</t>
  </si>
  <si>
    <t>SAB-20-FDUV</t>
  </si>
  <si>
    <t>2020-25 PI Utility | 2020-25 Explorer Civilian partition mounting kit. 100% seat slide.</t>
  </si>
  <si>
    <t>SAB-20-FDUV-BB</t>
  </si>
  <si>
    <t xml:space="preserve">2020-25 PI Utility | 2020-25 Explorer Civilian Big-Boy partition mounting kit. Extra seat-back recline. </t>
  </si>
  <si>
    <t>EM-21F1-2032-2ROW</t>
  </si>
  <si>
    <t>2021-25 F150 Floor plate to mount vault GB-UNIV-142410-TL</t>
  </si>
  <si>
    <t>EM-21S1-2032-2ROW  </t>
  </si>
  <si>
    <t>2021-25 Silverado 1500 Floor plate to mount vault GB-UNIV-142410-TL</t>
  </si>
  <si>
    <t>AC-EB-SL-TRAY</t>
  </si>
  <si>
    <t>AC-FILE-L-7P</t>
  </si>
  <si>
    <t>External shortened storage box with hinged lid. (8.86"W x 7"L x 10.87"H with 5x8 foam pad on lid and lock with key)</t>
  </si>
  <si>
    <t>AC-FILELOCK</t>
  </si>
  <si>
    <t>External lockable lidded box for storing letter size Penda flex hanging file folders. (8.8"W x 13.25"L x 10.8"H)</t>
  </si>
  <si>
    <t>GM-21DUR-SGRF-SC</t>
  </si>
  <si>
    <t>2021-25 Durango dual weapon mount for single-cell</t>
  </si>
  <si>
    <t>GM-SGRF-SC</t>
  </si>
  <si>
    <t>Universal dual weapon mount for single-cell. Compatible with Ford PIU, F150 and Tahoe.</t>
  </si>
  <si>
    <t>CC-UV20-OH</t>
  </si>
  <si>
    <t>2020-25 PI Utility | 2020-25 Explorer Civilian 4" overhead console - mounts siren control and radio remote head</t>
  </si>
  <si>
    <t>CM-UMNT-SA-LED</t>
  </si>
  <si>
    <t xml:space="preserve">U bracket mount with swing arm for docking station </t>
  </si>
  <si>
    <t>CM-UMSH-SA-LED</t>
  </si>
  <si>
    <t>Short U bracket mount with swing arm for docking station</t>
  </si>
  <si>
    <t>CC-C05</t>
  </si>
  <si>
    <t>Universal SUV/truck 7" bench-seat sloped console; small footprint. No floor plate used for bench-seat vehicles</t>
  </si>
  <si>
    <t>CC-C10</t>
  </si>
  <si>
    <t>Universal SUV/truck 10" 2 piece height adjustable console; small foot spring.  No floor plate used for bench-seat vehicles</t>
  </si>
  <si>
    <t>Universal 10" 2 piece height adjustable console; can be lifted and/or angled to accommodate various component sizes</t>
  </si>
  <si>
    <t>AC-MAPFILE</t>
  </si>
  <si>
    <t>External lidded box for map books. (10.8"W x 13.25"L x 10.6"H.  Non-locking)</t>
  </si>
  <si>
    <t>PM-21DUR</t>
  </si>
  <si>
    <t>PM-21DUR-BF</t>
  </si>
  <si>
    <t>2021-25 Durango Bent-Frame Space-Maker partition mounting kit, 100% seal slide, extra seat-back recline, no holes-drilled design.</t>
  </si>
  <si>
    <t>SAB-20-UV-BF</t>
  </si>
  <si>
    <t>2020-25 PI Utility bent-frame partition mounting kit</t>
  </si>
  <si>
    <t>WG-CHGR-POLY-SET</t>
  </si>
  <si>
    <t>2020-24 Charger driver and passenger side polycarbonate window guards</t>
  </si>
  <si>
    <t>DP-21SB-SET</t>
  </si>
  <si>
    <t>2021-24 Suburban driver and passenger side door panel set</t>
  </si>
  <si>
    <t>GM-21TH-SGL</t>
  </si>
  <si>
    <t>2021-25 Tahoe | 2021-24 Suburban free standing single weapon mount. Weapon locks sold separately.</t>
  </si>
  <si>
    <t>AC-BINDERBX</t>
  </si>
  <si>
    <t>External lidded box storing 3-ring binders. (9.75"W x 12"L x 12"H. Non-locking)</t>
  </si>
  <si>
    <t>CM-UMNT-SAS-LED</t>
  </si>
  <si>
    <t>U bracket mount with swing arm for docking station. Pivot mount bolts to second hole (farther from user)</t>
  </si>
  <si>
    <t>CM-UMSH-SAS-LED</t>
  </si>
  <si>
    <t>Short U bracket mount with swing arm for dock.Pivot mount bolts to second hole (farther from user)</t>
  </si>
  <si>
    <t>AC-TRAY-CH50</t>
  </si>
  <si>
    <t xml:space="preserve">Half-size electronics tray. Mounting surface area: 14.5" x 19.5" (Mounting brackets are included with the purchase of the tray) </t>
  </si>
  <si>
    <t>CC-21F1-OH</t>
  </si>
  <si>
    <t>WG-21TH-PL-SET</t>
  </si>
  <si>
    <t>2021-25  Tahoe driver and passenger side polycarbonate window guards</t>
  </si>
  <si>
    <t>WG-21TH-SET</t>
  </si>
  <si>
    <t>2021-25 Tahoe driver and passenger side window guards, welded bars</t>
  </si>
  <si>
    <t>AC-OC-FILEBOX</t>
  </si>
  <si>
    <t>External lidded file box. (13.24"W x 11.25"L x 11.14"H)</t>
  </si>
  <si>
    <t>KT-GM-SGL-SC1AR</t>
  </si>
  <si>
    <t>Single weapon mount with SC1/AR AR15 lock, No. 2 key and brackets</t>
  </si>
  <si>
    <t>WG-DUR18-PL-SET</t>
  </si>
  <si>
    <t>2018-25 Durango driver and passenger side polycarbonate window guards</t>
  </si>
  <si>
    <t>2-SAB-EXP18</t>
  </si>
  <si>
    <t>2018-25 Expedition 100% seat slide, extra seat-back recline, no holes-drilled design</t>
  </si>
  <si>
    <t>AC-FHDFB</t>
  </si>
  <si>
    <t>External map book lidded storage box. (13.25"W x 13.8"L x 11"H. Includes leather pad AC-FHDPAD)</t>
  </si>
  <si>
    <t xml:space="preserve">CM-DH-SA-LED </t>
  </si>
  <si>
    <t>Console deck computer mount with swing arm for docking station. Works with computer deck consoles CC-20-UVLP-17, 14 and CC-21CH-DM-0707, 0709,0711</t>
  </si>
  <si>
    <t>CM-SDMT-SA-LED</t>
  </si>
  <si>
    <t>Console side height adjustable mount with swing arm for docking station</t>
  </si>
  <si>
    <t>WG-21F150-POLY</t>
  </si>
  <si>
    <t>2021-25 F150 | 2021-25 F250 driver and passenger side polycarbonate window guards</t>
  </si>
  <si>
    <t>WG-FTV-D-FW</t>
  </si>
  <si>
    <t>2020-25 Transit XLT Van window guard, vertical bar; driver front side</t>
  </si>
  <si>
    <t>WG-FTV-D-RW</t>
  </si>
  <si>
    <t>2020-25 Transit XLT Van window guard, vertical bar; driver rear side</t>
  </si>
  <si>
    <t>WG-FTV-P-RW</t>
  </si>
  <si>
    <t>2020-25 Transit XLT Van window guard, vertical bar; passenger side rear window</t>
  </si>
  <si>
    <t>WG-19S1-SET</t>
  </si>
  <si>
    <t>2019-25 Silverado 1500 driver and passenger side vertical welded window guards</t>
  </si>
  <si>
    <t>CC-T-V12</t>
  </si>
  <si>
    <t>Universal 12" vertical console. 16.79" long. Console top pre-punched with four outlet holes. Outlets not included.</t>
  </si>
  <si>
    <t>WG-21SB-VERTBR</t>
  </si>
  <si>
    <t>2021-24 Suburban driver and passenger set window guards, vertical design</t>
  </si>
  <si>
    <t>AC-GUNSAFE-2</t>
  </si>
  <si>
    <t>Lockable handgun box with cipher lock sized to fit under vehicle seat. (9"W x 11.1"L x 4.2"H)</t>
  </si>
  <si>
    <t>AC-TP-TRAY</t>
  </si>
  <si>
    <t xml:space="preserve">30.5"W x 6.1"L x 11.2"H electronics box with hinged lid and louvered sides. Bolts to any cargo partition.  </t>
  </si>
  <si>
    <t>KT-GM-SGL-SC6</t>
  </si>
  <si>
    <t>Single weapon mount with SC6 lock and brackets</t>
  </si>
  <si>
    <t>PS-20-FDUV-PAN</t>
  </si>
  <si>
    <t>2020-25 PI Utility plastic floor pan with v-drain</t>
  </si>
  <si>
    <t>AC-FHDFB-L</t>
  </si>
  <si>
    <t>External lidded storage box with lock. (13.25"W x 13.8"L x 11"H. Includes leather pad AC-FHDPAD)</t>
  </si>
  <si>
    <t>CC-C04</t>
  </si>
  <si>
    <t>Universal SUV/truck 10" bench-seat sloped console; small footprint. No floor plate used for bench-seat vehicles</t>
  </si>
  <si>
    <t>CC-C14</t>
  </si>
  <si>
    <t>Universal 14" 2 piece height adjustable console; can be lifted and/or angled to accommodate various component sizes</t>
  </si>
  <si>
    <t>CC-MODCON-9</t>
  </si>
  <si>
    <t>Universal 9" sloped console. Small footprint (14.4" long). Good officer hip room.</t>
  </si>
  <si>
    <t>CM-20-UVDM</t>
  </si>
  <si>
    <t xml:space="preserve">2020-24 PI Utility in-dash computer mount - Keyboard accommodated with separate mounts </t>
  </si>
  <si>
    <t xml:space="preserve">CP-U-4060-TRAY </t>
  </si>
  <si>
    <t>40”W x 60”L universal bed slide accessory tray</t>
  </si>
  <si>
    <t>AC-21F1-SC-ETRAY</t>
  </si>
  <si>
    <t xml:space="preserve">2021-25 F150 Sliding electronics tray to mount behind plastic seat </t>
  </si>
  <si>
    <t>AC-PENPRTR-58-CC</t>
  </si>
  <si>
    <t>Printer mount with 5 x 8 pad, bolts to console rear (AC-ARM-BKT, AC-ARM-PED-TB, AC-PENPRTR, AC-FOAM-58)</t>
  </si>
  <si>
    <t>AC-PENPRTR-58-FP</t>
  </si>
  <si>
    <t>Printer arm rest with 5 x 8 pad, bolts to floor plate (AC-ARM-BASE, AC-ARM-PED-TB, AC-PENPRTR, AC-FOAM-58)</t>
  </si>
  <si>
    <t>CP-U-MOLLE-PAN</t>
  </si>
  <si>
    <t>Universal Cargo Accessory Molle Pan with Open Storage for Trucks</t>
  </si>
  <si>
    <t>FP-BPTX6-WBOS</t>
  </si>
  <si>
    <t xml:space="preserve">Printer insert compatible with Pocket Jet Printers and 2-3/8" paper roll for wide-body consoles with open storage.  Works with 11" on the console level section                                       </t>
  </si>
  <si>
    <t>CC-21CH-22</t>
  </si>
  <si>
    <t>2021-24 Charger 22" level console. Can use long/short components</t>
  </si>
  <si>
    <t>CM-UMNT-SA-LT17</t>
  </si>
  <si>
    <t>U bracket mount with swing arm and laptop tray up to 17" wide</t>
  </si>
  <si>
    <t>CM-UMSH-SA-LT17</t>
  </si>
  <si>
    <t>Short U bracket mount with swing arm and laptop tray up to 17" wide</t>
  </si>
  <si>
    <t>CC-V12</t>
  </si>
  <si>
    <t>Universal 12" vertical console. 14.48" long. Good officer hip room. Use external beverage holder.</t>
  </si>
  <si>
    <t>AC-PENPRTR-510-CC</t>
  </si>
  <si>
    <t>Printer mount with 5 x 10 pad, bolts to console rear (AC-ARM-BKT, AC-ARM-PED-TB, AC-PENPRTR, AC-FOAM-510)</t>
  </si>
  <si>
    <t>AC-PENPRTR-510-FP</t>
  </si>
  <si>
    <t>Printer arm rest with 5 x 10 pad, bolts to floor plate (AC-ARM-BASE, AC-ARM-PED-TB, AC-PENPRTR, AC-FOAM-510)</t>
  </si>
  <si>
    <t>AC-21TH-CPMNT</t>
  </si>
  <si>
    <t>2021-25 Tahoe cargo mount, 4-piece system</t>
  </si>
  <si>
    <t>GM-20UV-SGRF</t>
  </si>
  <si>
    <t>2020-25 PI Utility free standing dual weapon mount. Weapon locks sold separately.</t>
  </si>
  <si>
    <t>GM-21TH-SGRF</t>
  </si>
  <si>
    <t xml:space="preserve">2021-25 Tahoe | 2021-24 Suburban free standing dual weapon mount. Weapon locks sold separately. </t>
  </si>
  <si>
    <t>CC-20-UVLP-14</t>
  </si>
  <si>
    <t>2020-25 PI Utility 14" low-profile console, 8" slope, 6" level (no floor plate needed, mounts directly to floor)</t>
  </si>
  <si>
    <t>CC-C06-90</t>
  </si>
  <si>
    <t>Universal 14" sloped console; tall at dashboard and slopes down to low end. Rear wall now 90 degree angle</t>
  </si>
  <si>
    <t>CC-C18</t>
  </si>
  <si>
    <t>Universal 18" 2 piece height adjustable console; can be lifted and/or angled to accommodate various component sizes</t>
  </si>
  <si>
    <t>CC-20FDUV-22</t>
  </si>
  <si>
    <t xml:space="preserve">2020-25 PI Utility 22" level console pre-punched holes for U-mount (no floor plate needed, mounts directly to floor) </t>
  </si>
  <si>
    <t>CC-A-S12</t>
  </si>
  <si>
    <t>Universal 12" 2 piece height adjustable sloped console; flat deck (top piece can be raised up to 3" higher)</t>
  </si>
  <si>
    <t>CC-20-UVLP-17</t>
  </si>
  <si>
    <t xml:space="preserve">2020-25 PI Utility 17" low-profile console, 8" slope, 9" level (no floor plate needed, mounts directly to floor) </t>
  </si>
  <si>
    <t>CC-MC-14</t>
  </si>
  <si>
    <t>Universal MC 14" L-shape console; 7" slope, 7" level.</t>
  </si>
  <si>
    <t>CC-LASD-15</t>
  </si>
  <si>
    <t>Universal 15" L-shaped console with computer deck; 7" slope, 8" level. Rocker switch hole pre-punched on deck</t>
  </si>
  <si>
    <t>AC-CP-EXP18-MAX-MNT</t>
  </si>
  <si>
    <t>AC-CP-EXP18-MNT</t>
  </si>
  <si>
    <t>CM-PSCH-SA-LED</t>
  </si>
  <si>
    <t>2020-24 Charger passenger seat with swing arm for docking station</t>
  </si>
  <si>
    <t>CM-SDMT-SA-LT17</t>
  </si>
  <si>
    <t>Console side height adjustable mount with swing arm and laptop tray up to 17" wide</t>
  </si>
  <si>
    <t>CM-UMNT-SA-LT16</t>
  </si>
  <si>
    <t>CM-UMSH-SA-LT16</t>
  </si>
  <si>
    <t>CC-C14H</t>
  </si>
  <si>
    <t>Universal 14" 2-piece height adjustable tall-profile console; can be angled to improve view of control heads</t>
  </si>
  <si>
    <t>CM-UMNT-SL-LED</t>
  </si>
  <si>
    <t>U bracket mount with slide arm for docking station</t>
  </si>
  <si>
    <t>CM-UMNT-SLS-LED</t>
  </si>
  <si>
    <t>U bracket mount with slide arm for docking station; pivot mount bolts to second hole (farther from user)</t>
  </si>
  <si>
    <t>CM-UMSH-SL-LED</t>
  </si>
  <si>
    <t>Short U bracket mount with slide arm for docking station</t>
  </si>
  <si>
    <t>CM-UMSH-SLS-LED</t>
  </si>
  <si>
    <t>Short U bracket mount with slide arm for docking station. Pivot mounts to second hole (farther from user)</t>
  </si>
  <si>
    <t>CM-UV20-SA-LED</t>
  </si>
  <si>
    <t>2020-25 PI Utility | 2020-25 Explorer Civilian passenger seat mount with swing arm dock</t>
  </si>
  <si>
    <t>CC-21TH-V12</t>
  </si>
  <si>
    <t xml:space="preserve">2021-24 Tahoe | 2021-24 Suburban 12" vertical console </t>
  </si>
  <si>
    <t>CC-BPD-15</t>
  </si>
  <si>
    <t>Universal 15" low-profile L shaped console; 9" slope, 6" level with computer deck</t>
  </si>
  <si>
    <t>CC-PCFX14</t>
  </si>
  <si>
    <t>Universal 14" low-profile console; 3" slope, 11" level with computer deck</t>
  </si>
  <si>
    <t>CC-20UV-V10</t>
  </si>
  <si>
    <t>2020-24 PI Utility 10" vertical console with built in dual cupholders and open storage pocket L-Shape armrest with 5x8 foam pad</t>
  </si>
  <si>
    <t>CC-25UV-V10</t>
  </si>
  <si>
    <t>2025 PI Utility 10" vertical console with built in dual cupholders and open storage (NO ARMREST)</t>
  </si>
  <si>
    <t>CM-F15-SA-LED</t>
  </si>
  <si>
    <t>2020-25 F150 | 2020-25 F250 | 2018-25 Expedition - Height adjustable seat mount with swing arm and docking station mount</t>
  </si>
  <si>
    <t>CC-MC-18</t>
  </si>
  <si>
    <t>Universal MC 18" L-shape console; 7" slope, 11" level.</t>
  </si>
  <si>
    <t>CM-SDMT-SL-LED</t>
  </si>
  <si>
    <t>Console side height adjustable mount with slide arm for docking station</t>
  </si>
  <si>
    <t>CP-UV20-R-DECK</t>
  </si>
  <si>
    <t xml:space="preserve">2020-25 PI Utility horizontal elevated deck with adjustable divider, bolts to PI Utility rear cages. </t>
  </si>
  <si>
    <t>2020-25 PIU Utility horizontal elevated deck with adjustable divider, bolts to PI Utility rear cages.</t>
  </si>
  <si>
    <t>CC-UV20-L-18</t>
  </si>
  <si>
    <t xml:space="preserve">2020-25 PI Utility 18" L-Shape console, 7" slope, 11" level (no floor plate needed, mounts directly to floor) </t>
  </si>
  <si>
    <t>CC-C18H</t>
  </si>
  <si>
    <t>Universal 18" 2 piece height adjustable tall-profile console; can be angled to improve view of control heads</t>
  </si>
  <si>
    <t>CM-SDMT-SA-LT16</t>
  </si>
  <si>
    <t>CM-PSDR-SA-LED</t>
  </si>
  <si>
    <t>2020-25 Ram passenger seat mount with swing arm for docking station</t>
  </si>
  <si>
    <t>CM-CHV19-SA-LED</t>
  </si>
  <si>
    <t>2019-25 Silverado passenger seat mount with swing arm and docking station mount</t>
  </si>
  <si>
    <t>CP-21TH-R-DECK</t>
  </si>
  <si>
    <t xml:space="preserve">2021-25 Tahoe horizontal elevated deck with adjustable divider, bolts to Tahoe rear cages. </t>
  </si>
  <si>
    <t>CC-UV20-L-20</t>
  </si>
  <si>
    <t xml:space="preserve">2020-25 PI Utility 20" L-Shape console, 7" slope, 13" level (no floor plate needed, mounts directly to floor) </t>
  </si>
  <si>
    <t>CC-25TH-V12</t>
  </si>
  <si>
    <t>2025 Tahoe 12" vertical console</t>
  </si>
  <si>
    <t>CC-MC-22</t>
  </si>
  <si>
    <t>Universal MC 22" L-shape console; 7" slope, 15" level.</t>
  </si>
  <si>
    <t>CC-21TH-0711-DM</t>
  </si>
  <si>
    <t>2021-24 Tahoe | 2021-24 Suburban 18" dash-mount console 7" slope,  11" level</t>
  </si>
  <si>
    <t>CC-21TH-1008</t>
  </si>
  <si>
    <t>2021-24 Tahoe | 2021-24 Suburban 8" standard console 10" slope, 8" level</t>
  </si>
  <si>
    <t>CC-ECO-UV20-18</t>
  </si>
  <si>
    <t>2020-25 PI Utility 18" lightweight aluminum console, 10" slope, 8" level</t>
  </si>
  <si>
    <t>CM-DH-SLDK-LED</t>
  </si>
  <si>
    <t>Console deck computer mount with slide arm for docking station. Works with computer deck consoles CC-20-UVLP-17, 14 and CC-21CH-DM-0707, 0709,0711</t>
  </si>
  <si>
    <t>CM-PSCH-SA-LT17</t>
  </si>
  <si>
    <t>2020-24 Charger passenger seat with swing arm and laptop tray up to 17" wide</t>
  </si>
  <si>
    <t>AC-TP-E-TRAY</t>
  </si>
  <si>
    <t xml:space="preserve">43"W x  6.5"L x 18"H with louvers on top and side walls. Equipment mounts to double wall lid. </t>
  </si>
  <si>
    <t>CC-MC-25</t>
  </si>
  <si>
    <t>Universal MC 25" L-shape console; 7" slope, 18" level.</t>
  </si>
  <si>
    <t>TP-20-FDUV-R</t>
  </si>
  <si>
    <t>2020-25 PI Utility | 2020-25 Explorer Civilian rear partition, square-hole window, square-hole side panels</t>
  </si>
  <si>
    <t>CC-21TH-0713-DM</t>
  </si>
  <si>
    <t>2021-24 Tahoe | 2021-24 Suburban 20" dash-mount console 7" slope,  13" level</t>
  </si>
  <si>
    <t>KT-GM-SGRF-SC1-1AR</t>
  </si>
  <si>
    <t>Dual weapon mount with SC1 shotgun lock, SC1/AR AR15 lock with No. 2 Key and brackets</t>
  </si>
  <si>
    <t>AC-TRAY-38</t>
  </si>
  <si>
    <t>Sedan trunk full-width electronics tray.  Mounting surface: 35.4"W x 19.4"L (Mounting brackets are included with the purchase of the tray)</t>
  </si>
  <si>
    <t>CC-21CH-DM-0709</t>
  </si>
  <si>
    <t>2021-24 Charger 16" dash-mount console; 7" angled slope, 9" level. Long components used in slope area</t>
  </si>
  <si>
    <t>CM-SDLA-SL-LED</t>
  </si>
  <si>
    <t>Console side height adjustable mount with ratchet handle and slide arm for docking station</t>
  </si>
  <si>
    <t>CC-21CH-DM-0711</t>
  </si>
  <si>
    <t>2021-24 Charger 18" dash-mount console; 7" angled slope, 11" level. Long components used in vertical area.</t>
  </si>
  <si>
    <t>CM-UMSH-SL-LT17</t>
  </si>
  <si>
    <t>Short U bracket mount with slide arm and laptop tray up to 17" wide</t>
  </si>
  <si>
    <t>CM-UMNT-SL-LT17</t>
  </si>
  <si>
    <t>U bracket mount with slide arm and laptop tray up to 17" wide</t>
  </si>
  <si>
    <t>AC-21F1-MOL-DS</t>
  </si>
  <si>
    <t xml:space="preserve">2021-25 F150 Driver side molle panel for storage gear and accessories. Works with single cell system. </t>
  </si>
  <si>
    <t>CM-PSCH-SA-LT16</t>
  </si>
  <si>
    <t>KT-GM-SGRF-SC6-1</t>
  </si>
  <si>
    <t>Dual weapon mount with SC6 lock, SC1 shotgun lock with No. 2 key and brackets</t>
  </si>
  <si>
    <t>CC-21TH-1012</t>
  </si>
  <si>
    <t>2021-24 Tahoe | 2021-24 Suburban 22" standard console 10" slope, 12" level</t>
  </si>
  <si>
    <t>CC-25TH-0909</t>
  </si>
  <si>
    <t>2025 Tahoe 18" standard console, 9" slope,  9" level</t>
  </si>
  <si>
    <t>TP-DUR18-R</t>
  </si>
  <si>
    <t>2018-25 Durango rear partition three-sided design</t>
  </si>
  <si>
    <t>CC-21F1-0713</t>
  </si>
  <si>
    <t>2021-25 F150 20" standard console; 7" slope, 13" level (no floor plate needed, mounts directly to floor)</t>
  </si>
  <si>
    <t>CP-UV-CO</t>
  </si>
  <si>
    <t>Cargo organizer with three dividers to create maximum of four compartments; 28"W x 16"L x 12"H.  Dividers ship loose.</t>
  </si>
  <si>
    <t>CM-F15-SA-LT17</t>
  </si>
  <si>
    <t>2020-25 F150 | 2020-25 F250 | 2018-25 Expedition - Height adjustable seat mount with swing arm and laptop tray up to 17" wide</t>
  </si>
  <si>
    <t>CM-PSDR-SA-LT17</t>
  </si>
  <si>
    <t>2020-25 Ram passenger seat mount with swing arm and laptop tray up to 17" wide</t>
  </si>
  <si>
    <t>CM-UV20-SA-LT17</t>
  </si>
  <si>
    <t>2020-25 PI Utility | 2020-25 Explorer Civilian passenger seat mount with swing arm and laptop tray up to 17" wide</t>
  </si>
  <si>
    <t>CC-21TH-1015</t>
  </si>
  <si>
    <t>2021-24 Tahoe | 2021-24 Suburban 25" standard console 10" slope, 15" level</t>
  </si>
  <si>
    <t>TP-20-FDUV-FX</t>
  </si>
  <si>
    <t>2020-25 PI Utility | 2020-25 Explorer Civilian rear partition, square-hole window, driver-side fire extinguisher compartment</t>
  </si>
  <si>
    <t>CM-SDMT-SL-LT17</t>
  </si>
  <si>
    <t>Console side height adjustable mount with slide arm and laptop tray up to 17" wide</t>
  </si>
  <si>
    <t>CM-F15-SL-LED</t>
  </si>
  <si>
    <t>2020-25 F150 | 2020-25 F250 | 2018-25 Expedition - Height adjustable seat mount with slide arm and docking station mount</t>
  </si>
  <si>
    <t>CM-PSCH-SL-LED</t>
  </si>
  <si>
    <t>2020-24 Charger passenger seat with slide arm for docking station</t>
  </si>
  <si>
    <t>CC-25TH-0912</t>
  </si>
  <si>
    <t>2025 Tahoe 21" standard console, 9" slope, 12" level</t>
  </si>
  <si>
    <t>CM-UMNT-SL-LT16</t>
  </si>
  <si>
    <t>CM-UMSH-SL-LT16</t>
  </si>
  <si>
    <t>KT-GM-SGRF-SC6-1AR</t>
  </si>
  <si>
    <t>Dual weapon mount with SC6 lock, SC1/AR AR15 lock with No. 2 Key and brackets</t>
  </si>
  <si>
    <t>CC-21DUR-0810</t>
  </si>
  <si>
    <t>2021-25 Durango 18" vehicle specific console; 8" slope, 10" level. Relocates OEM USB ports</t>
  </si>
  <si>
    <t>TP-20-FDUV-RL</t>
  </si>
  <si>
    <t xml:space="preserve">2020-25 PI Utility | 2020-25 Explorer Civilian rear partition with polycarbonate window, square-hole side panels  </t>
  </si>
  <si>
    <t>CC-25TH-0916</t>
  </si>
  <si>
    <t>2025 Tahoe 25" standard console, 9" slope, 16" level</t>
  </si>
  <si>
    <t>CP-20-XPLR-FLR</t>
  </si>
  <si>
    <t>2020-25 Explorer Civilian cargo false floor designed to only work with the lightweight Eco Storage Box will not work with standard steel boxes. Pair with SB-20-XPLR-BKT brackets.</t>
  </si>
  <si>
    <t>CM-UV20-SL-LED</t>
  </si>
  <si>
    <t>2020-25 PI Utility | 2020-25 Explorer Civilian passenger seat mount with slide arm dock</t>
  </si>
  <si>
    <t>EM-21F1-ECOVER-2ROW</t>
  </si>
  <si>
    <t xml:space="preserve">2021-25 F150 Electronics cover mounts to driver side cab wall; features ventilation louvers </t>
  </si>
  <si>
    <t xml:space="preserve">EM-21S1-ECOVER-2ROW </t>
  </si>
  <si>
    <t xml:space="preserve">2021-25 Silverado 1500 Electronics cover mounts to driver side cab wall; features ventilation louvers </t>
  </si>
  <si>
    <t>CM-F15-SA-LT16</t>
  </si>
  <si>
    <t>CM-PSDR-SA-LT16</t>
  </si>
  <si>
    <t>CM-UV20-SA-LT16</t>
  </si>
  <si>
    <t>RP-21SB-SQRPCH-3ROW</t>
  </si>
  <si>
    <t>2021-24 Suburban third row partition with square-hole screen and flat lower panel.</t>
  </si>
  <si>
    <t>CM-SDMT-SL-LT16</t>
  </si>
  <si>
    <t>CM-FTV-SL-LED</t>
  </si>
  <si>
    <t>2020-25 Transit XLT Van - Height adjustable seat mount with slide arm for docking stations</t>
  </si>
  <si>
    <t>CM-PSCH-SL-LT17</t>
  </si>
  <si>
    <t>2020-24 Charger passenger seat with slide arm and laptop tray up to 17" wide</t>
  </si>
  <si>
    <t>CM-PSDR-SL-LED</t>
  </si>
  <si>
    <t xml:space="preserve">2020-25 Ram passenger seat mount with slide arm for docking station </t>
  </si>
  <si>
    <t>CP-21F1-36148-USBX</t>
  </si>
  <si>
    <t>2021-25 F150 under-seat box (60% length of OEM seat) - Mounts to OEM anchor points.</t>
  </si>
  <si>
    <t>CC-HDWB-20</t>
  </si>
  <si>
    <t>Universal SUV/truck 20" wide-body console; 8" slope,  12" level. No open storage. Face plates centered</t>
  </si>
  <si>
    <t>KIT-CP-21TH-EB-TRAY</t>
  </si>
  <si>
    <t>2021-25 Tahoe elevated frame kit to include CP-21TH-MNT-EB, AC-EB-SL-TRAY, AC-EB-TRAY-FENCE.</t>
  </si>
  <si>
    <t>CC-WBOS-16</t>
  </si>
  <si>
    <t>Universal SUV/truck 16" wide-body open-storage console; 8" slope, 8" level</t>
  </si>
  <si>
    <t>AC-CVLTBOX</t>
  </si>
  <si>
    <t>Cargo organizer with lidded weapon compartment; 40"W x 27"L x 12"H. Additional lid sold separately (Part no. AC-CVTO-LID).</t>
  </si>
  <si>
    <t>CP-DG-CG-MNT</t>
  </si>
  <si>
    <t>TP-DUR18-FX</t>
  </si>
  <si>
    <t xml:space="preserve">2018-25 Durango rear partition, square-hole window, driver-side fire extinguisher compartments </t>
  </si>
  <si>
    <t>TP-DUR18-RL</t>
  </si>
  <si>
    <t>2018-25 Durango rear partition with all-polycarbonate window, square-hole side walls</t>
  </si>
  <si>
    <t xml:space="preserve">TP-EXP18-R </t>
  </si>
  <si>
    <t>2018-25 Expedition rear partition three-sided design</t>
  </si>
  <si>
    <t>AC-CHG-MCTO</t>
  </si>
  <si>
    <t xml:space="preserve">2020-24 Charger trunk organizer with compartments and one lidded compartment. Backside bracket provided to secure the organizer in place. </t>
  </si>
  <si>
    <t>CC-21DUR-0814</t>
  </si>
  <si>
    <t>2021-25 Durango 22" vehicle specific console; 8" slope, 14" level. Relocates OEM USB ports</t>
  </si>
  <si>
    <t>CC-21DUR-22</t>
  </si>
  <si>
    <t>2021-25 Durango 22" level console with pre-punched holes for side computer mount</t>
  </si>
  <si>
    <t>CP-21DUR-CG-MNT</t>
  </si>
  <si>
    <t>2021-25 Durango SSV/PPV cargo mount, 5-piece system. Compatible with prisoner plastic seat. Maximum depth is 27"</t>
  </si>
  <si>
    <t>CP-21TH-CO</t>
  </si>
  <si>
    <t>2021-25 Tahoe cargo organizer; 35"W x 12"L x 47"H with divider walls</t>
  </si>
  <si>
    <t>RP-21TH-SQ-2</t>
  </si>
  <si>
    <t xml:space="preserve">2021-25 Tahoe rear cage with square-hole window </t>
  </si>
  <si>
    <t>CC-HDWB-25</t>
  </si>
  <si>
    <t>Universal SUV/truck 25" wide-body console; 8" slope,  17" level. No open storage. Face plates centered</t>
  </si>
  <si>
    <t>CC-WBOS-20</t>
  </si>
  <si>
    <t>Universal SUV/truck 20" wide-body open-storage console; 8" slope, 12" level</t>
  </si>
  <si>
    <t>CM-CHV19-SL-LED</t>
  </si>
  <si>
    <t>2019-25 Silverado passenger seat mount with sliding arm and docking station mount</t>
  </si>
  <si>
    <t>PB-20UV-UPRS</t>
  </si>
  <si>
    <t>2020-25 PI Utility upright with mounting kit and solid top channel cover</t>
  </si>
  <si>
    <t>PB-21DR-UPRS</t>
  </si>
  <si>
    <t>2021-25 Durango upright with mounting kit and solid top channel cover</t>
  </si>
  <si>
    <t>CP-21DUR-R-DECK</t>
  </si>
  <si>
    <t xml:space="preserve">2021-25 Durango horizontal elevated deck with adjustable divider, bolts to Durango rear cages. </t>
  </si>
  <si>
    <t>EM-21SB-CPTMNT</t>
  </si>
  <si>
    <t>2021-24 Suburban command post mount, 4 piece system</t>
  </si>
  <si>
    <t>CC-WBOS-25-LP</t>
  </si>
  <si>
    <t>Universal SUV/truck 25" low profile wide-body open-storage console; 8" slope, 17" level. 2" shorter in height</t>
  </si>
  <si>
    <t>CM-PSCH-SL-LT18</t>
  </si>
  <si>
    <t>CC-21TH-0711-OS-DM</t>
  </si>
  <si>
    <t>2021-24 Tahoe | 2021-24 Suburban 18" wide body console with open storage; 7" slope, 11" level</t>
  </si>
  <si>
    <t>CC-21TH-1008-OS</t>
  </si>
  <si>
    <t>2021-24 Tahoe | 2021-24 Suburban 18" wide body console with open storage; 10" slope,  8" level</t>
  </si>
  <si>
    <t>CM-21TH-SA-C</t>
  </si>
  <si>
    <t>2021-25 Tahoe | 2021-24 Suburban passenger seat mount with swing arm and mount for dock</t>
  </si>
  <si>
    <t>CC-20UV-PRTR</t>
  </si>
  <si>
    <t>2020-25 PI Utility 12" printer console, 4" slope, 8" level faceplate area</t>
  </si>
  <si>
    <t>CC-25UV-PRTR</t>
  </si>
  <si>
    <t xml:space="preserve">TP-EXP18-MAX-R </t>
  </si>
  <si>
    <t>CC-HDWB-30</t>
  </si>
  <si>
    <t>Universal SUV/truck 30" wide-body console; 8" slope,  22" level. No open storage. Face plates centered</t>
  </si>
  <si>
    <t>CC-WBOS-25</t>
  </si>
  <si>
    <t>Universal SUV/truck 25" wide-body open-storage console; 8" slope, 17" level</t>
  </si>
  <si>
    <t>CM-UV20-SL-LT17</t>
  </si>
  <si>
    <t>2020-25 PI Utility | 2020-25 Explorer Civilian passenger seat mount with slide arm and laptop tray up to 17" wide</t>
  </si>
  <si>
    <t>PB-20UV-UPRSML-LT2</t>
  </si>
  <si>
    <t>2020-25 PI Utility upright with mounting kit, wire covers and two light channel bracket</t>
  </si>
  <si>
    <t>PB-20UV-UPRSML-LT4</t>
  </si>
  <si>
    <t>2020-25 PI Utility upright with mounting kit, wire covers and four light channel bracket</t>
  </si>
  <si>
    <t>PB-21DR-UPRSML-LT2</t>
  </si>
  <si>
    <t>2021-25 Durango upright with mounting kit, wire covers and two light channel bracket</t>
  </si>
  <si>
    <t>PB-21DR-UPRSML-LT4</t>
  </si>
  <si>
    <t>2021-25 Durango upright with mounting kit, wire covers and four light channel bracket</t>
  </si>
  <si>
    <t>CM-F15-SL-LT17</t>
  </si>
  <si>
    <t>2020-25 F150 | 2020-25 F250 | 2018-25 Expedition - Height adjustable seat mount with slide arm and laptop tray up to 17" wide</t>
  </si>
  <si>
    <t>CM-PSDR-SL-LT17</t>
  </si>
  <si>
    <t>2020-25 Ram passenger seat mount with slide arm and laptop tray up to 17" wide</t>
  </si>
  <si>
    <t>AC-CP-EXP18-T-MNT</t>
  </si>
  <si>
    <t>2018-25 Expedition tilt-up cargo mount, 5-piece system.  Allows access to spare tire.</t>
  </si>
  <si>
    <t>CC-21TH-0713-OS-DM</t>
  </si>
  <si>
    <t>2021-24 Tahoe | 2021-24 Suburban 20" wide body console with open storage; 7" slope, 13" level</t>
  </si>
  <si>
    <t>KT-GM-SGRF-SC6-OP</t>
  </si>
  <si>
    <t>Dual weapon mount includes: (2) SC6 universal locks, (1) universal gunlock bracket, (1) handcuff style bracket</t>
  </si>
  <si>
    <t xml:space="preserve">CP-EBOX-T </t>
  </si>
  <si>
    <t xml:space="preserve">36"W x 20"L x 6"H lidded electronics box with removable tray. Use in SUV cargo area. </t>
  </si>
  <si>
    <t>TP-EXP18-FX</t>
  </si>
  <si>
    <t>2018-25 Expedition rear partition, square-hole window, driver-side fire extinguisher compartments</t>
  </si>
  <si>
    <t>CM-CHV19-SA-LT17</t>
  </si>
  <si>
    <t>2019-25 Silverado passenger seat mount with swing arm and laptop tray up to 17" wide</t>
  </si>
  <si>
    <t>CC-21DUR-PRTR-14</t>
  </si>
  <si>
    <t>2021-25 Durango 14" printer console features 4" slope, 10" level of face plate space</t>
  </si>
  <si>
    <t>CC-21F1-0709-OS</t>
  </si>
  <si>
    <t>PB-18XP-UPRS</t>
  </si>
  <si>
    <t>2018-25 Expedition upright with mounting kit and solid top channel cover</t>
  </si>
  <si>
    <t>PB-21F1-UPRS</t>
  </si>
  <si>
    <t>2021-23 F150 upright with mounting kit and solid top channel cover</t>
  </si>
  <si>
    <t>PB-21TH-UPRS</t>
  </si>
  <si>
    <t>2021-25 Tahoe upright with mounting kit and solid top channel cover</t>
  </si>
  <si>
    <t>PB-23S1-UPRS</t>
  </si>
  <si>
    <t>PB-24F1-UPRS</t>
  </si>
  <si>
    <t>2024-25 F150 upright with mounting kit and solid top channel cover</t>
  </si>
  <si>
    <t>CC-WBOS-30</t>
  </si>
  <si>
    <t xml:space="preserve">Universal SUV/truck 30" wide-body console; open storage on driver side, 8" slope,  22" level </t>
  </si>
  <si>
    <t>CC-21TH-0715-OS-DM</t>
  </si>
  <si>
    <t xml:space="preserve">2021-24 Tahoe | 2021-24 Suburban 22" wide body console with open storage; 7" slope, 15" level (works without partition) </t>
  </si>
  <si>
    <t>CC-21TH-1012-OS</t>
  </si>
  <si>
    <t>2021-24 Tahoe | 2021-24 Suburban 22" wide body console with open storage; 10" slope,  12" level</t>
  </si>
  <si>
    <t>TP-20-FDUV-RL-FX</t>
  </si>
  <si>
    <t>2020-25 PI Utility | 2020-25 Explorer Civilian rear partition, all-poly window, driver-side fire extinguisher compartment</t>
  </si>
  <si>
    <t>CM-21TH-SA-LT17</t>
  </si>
  <si>
    <t>2021-25 Tahoe | 2021-24 Suburban passenger seat mount with swing arm and laptop tray up to 17" wide</t>
  </si>
  <si>
    <t>RP-21TH-FX-2</t>
  </si>
  <si>
    <t>2021-25 Tahoe rear cage mount with driver-side fire ext. compartment</t>
  </si>
  <si>
    <t>CC-RAM20-FS</t>
  </si>
  <si>
    <t>Universal SUV/truck 4x4 floor-shift truck 20" wide body console. Fits in Ram, Ford, Silverado 4x4 shifter trucks.</t>
  </si>
  <si>
    <t>TP-EXP18-RL</t>
  </si>
  <si>
    <t>2018-25 Expedition rear partition with all-polycarbonate window, square-hole side walls</t>
  </si>
  <si>
    <t>CC-20UV-0414-PRTR</t>
  </si>
  <si>
    <t>2020-25 PI Utility 18" printer console, 4" slope, 14" level faceplate area</t>
  </si>
  <si>
    <t>CC-25UV-0414-PRTR</t>
  </si>
  <si>
    <t>CC-MC16BX12-S</t>
  </si>
  <si>
    <t>Universal 16"slope, 4" level (for beverage holder) and 12" built-in lidded box combination.</t>
  </si>
  <si>
    <t>CM-UV20-SL-LT16</t>
  </si>
  <si>
    <t>PB-18XP-UPRLRG-LT2</t>
  </si>
  <si>
    <t>2018-25 Expedition upright with mounting kit, wire covers and two light channel bracket</t>
  </si>
  <si>
    <t>PB-18XP-UPRLRG-LT4</t>
  </si>
  <si>
    <t>2018-25 Expedition upright with mounting kit, wire covers and four light channel bracket</t>
  </si>
  <si>
    <t>PB-21F1-UPRLRG-LT2</t>
  </si>
  <si>
    <t>2021-23 F150 upright with mounting kit, wire covers and two light channel bracket</t>
  </si>
  <si>
    <t>PB-21F1-UPRLRG-LT4</t>
  </si>
  <si>
    <t>2021-23 F150 upright with mounting kit, wire covers and four light channel bracket</t>
  </si>
  <si>
    <t>PB-21TH-UPRLRG-LT2</t>
  </si>
  <si>
    <t>2021-25 Tahoe upright with mounting kit, wire covers and two light channel bracket</t>
  </si>
  <si>
    <t>PB-21TH-UPRLRG-LT4</t>
  </si>
  <si>
    <t>2021-25 Tahoe upright with mounting kit, wire covers and four light channel bracket</t>
  </si>
  <si>
    <t>PB-23S1-UPRLRG-LT2</t>
  </si>
  <si>
    <t>2023-25 Silverado 1500 upright with mounting kit, wire covers and two light channel bracket</t>
  </si>
  <si>
    <t>PB-23S1-UPRLRG-LT4</t>
  </si>
  <si>
    <t>2023-25 Silverado 1500 upright with mounting kit, wire covers and four light channel bracket</t>
  </si>
  <si>
    <t>PB-24F1-UPRLRG-LT2</t>
  </si>
  <si>
    <t>2024-25 F150 upright with mounting kit, wire covers and two light channel bracket</t>
  </si>
  <si>
    <t>PB-24F1-UPRLRG-LT4</t>
  </si>
  <si>
    <t>2024-25 F150 upright with mounting kit, wire covers and four light channel bracket</t>
  </si>
  <si>
    <t>CM-F15-SL-LT16</t>
  </si>
  <si>
    <t>CM-PSDR-SL-LT16</t>
  </si>
  <si>
    <t>CC-WBOS-20-L</t>
  </si>
  <si>
    <t>Universal SUV/truck 20" wide-body console with lockable area; 8" slope, 12" level</t>
  </si>
  <si>
    <t>CC-21TH-0718-OS-DM</t>
  </si>
  <si>
    <t xml:space="preserve">2021-24 Tahoe | 2021-24 Suburban 25" wide body console with open storage; 7" slope, 18" level (works without partition) </t>
  </si>
  <si>
    <t>CM-21TH-SL-C</t>
  </si>
  <si>
    <t>2021-25 Tahoe | 2021-24 Suburban passenger seat mount with slide arm for dock</t>
  </si>
  <si>
    <t>CM-CHV19-SA-LT16</t>
  </si>
  <si>
    <t>CC-25TH-0909-OS</t>
  </si>
  <si>
    <t>2025 Tahoe 18" wide body console with open storage; 9" slope, 9" level</t>
  </si>
  <si>
    <t>CC-WBBP20-FS</t>
  </si>
  <si>
    <t>Universal SUV/truck 20" wide-body 4x4 floor shifter console; 8" slope, 12" level. May work in other 4x4 trucks.</t>
  </si>
  <si>
    <t xml:space="preserve">CP-UNIV-SLTRAY </t>
  </si>
  <si>
    <t xml:space="preserve">22"W x 30"L  slide-out tray mounts to the top of TROY box with a minimum length of 32" and no top trim. </t>
  </si>
  <si>
    <t>CM-21TH-SA-LT16</t>
  </si>
  <si>
    <t>TP-F-FTV-R</t>
  </si>
  <si>
    <t>2020-25 Transit XLT Van Rear Cage; 15 passenger; Square hole punched.  Mount included in part no.</t>
  </si>
  <si>
    <t>CC-WBBP25-FS</t>
  </si>
  <si>
    <t>Universal SUV/truck 25" wide-body 4x4 floor shifter console; 8" slope, 17" level. May work in other 4x4 trucks.</t>
  </si>
  <si>
    <t>CC-22S1-0713-OS</t>
  </si>
  <si>
    <t>2021-25 Silverado 1500 20" wide-body console; open storage along passenger side; 7" slope, 13" level (no floor plate needed, mounts directly to floor)</t>
  </si>
  <si>
    <t>CP-UV20-CARGO</t>
  </si>
  <si>
    <t>CP-UV20-CARGO-LP</t>
  </si>
  <si>
    <t>CC-MC16BX12-WB</t>
  </si>
  <si>
    <t>Universal 16" slope, 4" level, 12" lidded storage plus passenger-side open storage. Custom wide-body version</t>
  </si>
  <si>
    <t>CC-WBBP30-FS</t>
  </si>
  <si>
    <t>Universal SUV/truck 30" wide-body 4x4 floor shifter console; 8" slope, 22" level. May work in other trucks.</t>
  </si>
  <si>
    <t>GB-21F1-241110-2ROW</t>
  </si>
  <si>
    <t>2021-25 F150 | 2021-25 Silverado 1500 Driver side lidded box (24"W x 11"L x 10"H) with single gas shock and T-handle lock.</t>
  </si>
  <si>
    <t xml:space="preserve">GB-21F1-241110-2ROW  </t>
  </si>
  <si>
    <t>2021-25 Silverado 1500 Driver side lidded box (24"W x 11"L x 10"H) with single gas shock and t-handle lock.</t>
  </si>
  <si>
    <t>EM-21F1-EBX-RW</t>
  </si>
  <si>
    <t xml:space="preserve">2021-25 F150 Electronics cover mounts to driver side cab wall; features door out swings towards the left with gas shocks and ventilation louvers </t>
  </si>
  <si>
    <t>CP-FSWB-GS</t>
  </si>
  <si>
    <t>36"W x 16"L, full-size pop-up whiteboard, mounts to top of full-size command post</t>
  </si>
  <si>
    <t>36"W x 12"L, full-size low-profile pop-up whiteboard (use when command post sits on gun box)</t>
  </si>
  <si>
    <t xml:space="preserve">CP-GB1437 </t>
  </si>
  <si>
    <t>14.3"W x 37"L x 10"H cam lock; gas strut. Hinge at near center. Install length- or width-wise</t>
  </si>
  <si>
    <t xml:space="preserve">CP-MSWB-GS </t>
  </si>
  <si>
    <t>29"W x 12"L, mid-size pop-up whiteboard, mounts to top of command post</t>
  </si>
  <si>
    <t xml:space="preserve">CP-MSWB-GS-SH </t>
  </si>
  <si>
    <t>23.5"W x 12 L, mid-size low-profile pop-up whiteboard (use when command post sits on gun box)</t>
  </si>
  <si>
    <t>CP-UV20-CARGO-XL</t>
  </si>
  <si>
    <t>CC-25TH-0916-OS</t>
  </si>
  <si>
    <t>2025 Tahoe 25" wide body console with open storage; 9" slope, 16" level</t>
  </si>
  <si>
    <t xml:space="preserve">CP-2SUAC </t>
  </si>
  <si>
    <t>38.2"W x 18"L x 2.5"H; full-size top-mounted, slides out and down in front of command post</t>
  </si>
  <si>
    <t xml:space="preserve">CP-2SUAC MS </t>
  </si>
  <si>
    <t>28.5"W x 18"L x 2.4"H; full-size top-mounted, slides out and down in front of command post</t>
  </si>
  <si>
    <t xml:space="preserve">CP-FSWB-MFD </t>
  </si>
  <si>
    <t>33 W x 16"L, full-size pop-up command post whiteboard accessory</t>
  </si>
  <si>
    <t>CC-21TH-1008-OS-L</t>
  </si>
  <si>
    <t>2021-24 Tahoe | 2021-24 Suburban 18" wide body console with lockable storage area, 10" slope, 8" level</t>
  </si>
  <si>
    <t>CM-21TH-SL-LT17</t>
  </si>
  <si>
    <t>2021-25 Tahoe | 2021-24 Suburban passenger seat mount with slide arm and laptop tray up to 17" wide</t>
  </si>
  <si>
    <t>TP-SB-VAN-F</t>
  </si>
  <si>
    <t>2020-25 Transit XLT Van front Cage; 10-15 passenger; Square hole punched.  Mount not included in part no.</t>
  </si>
  <si>
    <t>RP-21TH-PL-2</t>
  </si>
  <si>
    <t>2021-25 Tahoe rear cage with polycarbonate window</t>
  </si>
  <si>
    <t>CM-SD2M-SL-703</t>
  </si>
  <si>
    <t>Console side dual-arm mount with swing arm for Havis tablet dock and slide arm for iKey keyboard</t>
  </si>
  <si>
    <t>CM-SD2M-SL-703-IK20</t>
  </si>
  <si>
    <t>Console side dual-arm mount with swing arm for Havis tablet dock and slide arm for Ikey/Havis keyboard, IK Model# IK-TR-911-RED, Havis keyboard model# KB-106</t>
  </si>
  <si>
    <t>SB-ECO42196</t>
  </si>
  <si>
    <t>Eco Line Aluminum Storage Box 42"W x 19"L x 6"H with two dividers, two lockable draw latches and rubber mat in drawer (compatible with Ford PIU, Civilian and Tahoe)</t>
  </si>
  <si>
    <t>CC-22S1-0713-OS-L</t>
  </si>
  <si>
    <t>2021-25 Silverado 1500 20" wide body console with lockable storage area, 7" slope, 13" level (no floor plate needed, mounts directly to floor)</t>
  </si>
  <si>
    <t>CC-RAM30-FS</t>
  </si>
  <si>
    <t>Universal SUV/truck 4x4 floor-shift truck 30" wide body console. Fits in Ram 4x4 shifter trucks. Side wall notched.</t>
  </si>
  <si>
    <t>CM-21TH-SL-LT16</t>
  </si>
  <si>
    <t>CC-21F1-0709OS-PRTR</t>
  </si>
  <si>
    <t>2021-25 F150 16" printer console 7" slope, 9" level; open storage on the slope section- special cover plate and rails sold separately</t>
  </si>
  <si>
    <t>TP-E-SL10-US-SS</t>
  </si>
  <si>
    <t>US size, Recessed Panel; Sliding window; Diamond-hole punched crawl-thru prevention bracket</t>
  </si>
  <si>
    <t>TP-E-SL12-FS-SS</t>
  </si>
  <si>
    <t xml:space="preserve">Full size Recessed Panel; Low-Profile Sliding window; Poly window </t>
  </si>
  <si>
    <t>TP-E-SL12-US-SS</t>
  </si>
  <si>
    <t xml:space="preserve">US size, Recessed Panel; Low-Profile Sliding window; poly window </t>
  </si>
  <si>
    <t>TP-E-SL3-US-SS</t>
  </si>
  <si>
    <t>US size, Recessed Panel; Fixed window; 50% Polycarbonate/50% Square-hole punched</t>
  </si>
  <si>
    <t>TP-E-SL6-FS-SS</t>
  </si>
  <si>
    <t>Full size Recessed Panel; Sliding window; Square hole punched</t>
  </si>
  <si>
    <t>TP-E-SL6-US-SS</t>
  </si>
  <si>
    <t>US size, Recessed Panel; Sliding window; Square-hole punched crawl-thru prevention bracket</t>
  </si>
  <si>
    <t>TP-E-SM3-FS-SS</t>
  </si>
  <si>
    <t>Full size Bent Frame space maker; 50% Polycarbonate 50% Square hole punched</t>
  </si>
  <si>
    <t>CM-CHV19-SL-LT17</t>
  </si>
  <si>
    <t>2019-25 Silverado height adjustable seat mount with slide arm and laptop tray up to 17" wide</t>
  </si>
  <si>
    <t>TP-E-SL1-US-SS</t>
  </si>
  <si>
    <t>US size, Recessed Panel; Sliding window; Vertical bar crawl-thru prevention bracket</t>
  </si>
  <si>
    <t>TP-E-SL1-FS-SS</t>
  </si>
  <si>
    <t>Full size Recessed Panel; Sliding window; Vertical bar</t>
  </si>
  <si>
    <t>TP-E-SL2-FS-SS</t>
  </si>
  <si>
    <t>Full size Recessed Panel; Fixed window:  All polycarbonate; Ventilation pre-punched holes</t>
  </si>
  <si>
    <t>TP-E-SL2-US-SS</t>
  </si>
  <si>
    <t>US size, Recessed Panel; Fixed window; all polycarbonate with pre-punched ventilation holes</t>
  </si>
  <si>
    <t>CC-21F1-0713OS-PRTR</t>
  </si>
  <si>
    <t>2021-25 F150 20" printer console 7" slope, 13" level; open storage on the slope section- special cover plate and rails sold separately</t>
  </si>
  <si>
    <t>CC-21TH-1008OS-PRTR</t>
  </si>
  <si>
    <t>2021-24 Tahoe | 2021-24 Suburban 18" printer console with open storage; 10" slope, 8" level</t>
  </si>
  <si>
    <t>RP-21TH-PL-FX-2</t>
  </si>
  <si>
    <t>2021-25 Tahoe rear cage with polycarbonate window and driver side fire extinguisher panel</t>
  </si>
  <si>
    <t>CM-SD2M-SA-D911</t>
  </si>
  <si>
    <t>Console side dual-arm mount with swing arm for D911 and keyboard</t>
  </si>
  <si>
    <t>CM-SD2M-SL-PDRC</t>
  </si>
  <si>
    <t>Console side dual-arm mount with swing arm for PDRC and slide arm for keyboard</t>
  </si>
  <si>
    <t>CM-SD2M-SL-PTPC</t>
  </si>
  <si>
    <t>Console side dual-arm mount with swing arm for Patrol PC and slide arm for keyboard</t>
  </si>
  <si>
    <t xml:space="preserve">CP-GUNSAFE05 </t>
  </si>
  <si>
    <t>37.25"W x 14.12"L x 10.1"H lidded gun box with two cam locks, two gas struts and one slanted divider plate</t>
  </si>
  <si>
    <t>CP-T-US-D-BOX</t>
  </si>
  <si>
    <t>2020-25 F150 | 2021-25 F250 under seat lidded gun box mounts to OEM points | 2019-25 Chevy Silverado under seat lidded gun box. Requires mounting brackets AC-SB-CHV19-MNT only for Chevy Silverado. Item sold separately.</t>
  </si>
  <si>
    <t>TP-E-SL1-FS-F</t>
  </si>
  <si>
    <t>Full size Flat Panel; Sliding window; Vertical bar</t>
  </si>
  <si>
    <t>TP-E-SL1-US-F</t>
  </si>
  <si>
    <t>US size, Flat Panel, Sliding window; Vertical bar crawl-thru prevention bracket</t>
  </si>
  <si>
    <t>TP-E-SL2-FS-F</t>
  </si>
  <si>
    <t>Full size Flat Panel; Fixed Window:  All polycarbonate; Ventilation pre-punched holes</t>
  </si>
  <si>
    <t>TP-E-SL2-US-F</t>
  </si>
  <si>
    <t>US size, Flat Panel; Fixed window; all polycarbonate with pre-punched ventilation holes</t>
  </si>
  <si>
    <t>TP-E-SL3-FS-F</t>
  </si>
  <si>
    <t>Full size Flat Panel; Fixed Window:  50% Polycarbonate 50% Square hole punched</t>
  </si>
  <si>
    <t>TP-E-SL3-US-F</t>
  </si>
  <si>
    <t>US size, Flat Panel; Fixed window; 50% Polycarbonate/50% Square-holed punched</t>
  </si>
  <si>
    <t>TP-E-SL6-FS-F</t>
  </si>
  <si>
    <t>Full size Flat Panel; Sliding window; Square hole punched</t>
  </si>
  <si>
    <t>TP-E-SL6-US-F</t>
  </si>
  <si>
    <t>US size, Flat Panel; Sliding window; Square-hole punched crawl-thru prevention bracket</t>
  </si>
  <si>
    <t>GB-UNIV-142410-TL</t>
  </si>
  <si>
    <t>Universal 14"W x 24"L x 10"H Gun box with locking handle</t>
  </si>
  <si>
    <t xml:space="preserve">GB-UNIV-142410-TL  </t>
  </si>
  <si>
    <t>CC-25TH-0909-OS-L</t>
  </si>
  <si>
    <t>2025 Tahoe 18" wide body console with lockable storage area, 9" slope, 9" level</t>
  </si>
  <si>
    <t>TP-20-FDUV-H-R</t>
  </si>
  <si>
    <t>2020-25 PI Utility rear partition with hinged equipment tray, square-hole window and square-hole side panels</t>
  </si>
  <si>
    <t>AC-21TH-CPMNT-T</t>
  </si>
  <si>
    <t xml:space="preserve">2021-25 Tahoe tilt-up cargo mount with electronics tray, 5-piece system; features 2" wire-pass through hole on the side wall of tilt mount making it easy to pass through a harness.  </t>
  </si>
  <si>
    <t>CM-CHV19-SL-LT16</t>
  </si>
  <si>
    <t>TP-E-SF1-US-SS</t>
  </si>
  <si>
    <t>US size Recessed Panel; Straight-Frame Space-Maker; Sliding Window; Vertical Bar Bracket</t>
  </si>
  <si>
    <t>TP-E-SF6-US-SS</t>
  </si>
  <si>
    <t>US size Recessed Panel; Straight-Frame Space-Maker; Sliding Window; Square hole punched bracket</t>
  </si>
  <si>
    <t>CC-22S1-0713OS-PRTR</t>
  </si>
  <si>
    <t>2021-25 Silverado 1500 20" printer console 7" slope, 13" level. Open storage on the slope section of passenger side. Special cover plate and rails sold separately; AC-RAIL-7-LA and SP-F-TH-7N (recommended with computer side mount)</t>
  </si>
  <si>
    <t>SB-ECO422013-T</t>
  </si>
  <si>
    <t>Eco Line Aluminum Storage Box 42"W x 20"L x 13"H with 3-sided 1.5" trim, two lockable draw latches and rubber mat in drawer (compatible with Ford PIU and Civilian)</t>
  </si>
  <si>
    <t xml:space="preserve">CP-AR-37146-TL </t>
  </si>
  <si>
    <t>37.5"W x 14"L x 6"H with two cam locks and one gas strut</t>
  </si>
  <si>
    <t xml:space="preserve">CP-AR-37156-TL </t>
  </si>
  <si>
    <t>37.25"W x 15"L x 6"H lidded gun box with two cam locks and one gas strut</t>
  </si>
  <si>
    <t>CC-24SEV-0711-OS</t>
  </si>
  <si>
    <t>CC-25TH-0909OS-PRTR</t>
  </si>
  <si>
    <t xml:space="preserve">2025 Tahoe 18" printer console with open storage; 9" slope, 9" level. </t>
  </si>
  <si>
    <t>CP-EB-401865-L</t>
  </si>
  <si>
    <t>40"W x 18"L x 6.5"H lidded electronics box with gas strut. Use in SUV cargo area.</t>
  </si>
  <si>
    <t>TP-E-SM12-FS-SS</t>
  </si>
  <si>
    <t xml:space="preserve">Full size Bent Frame space maker; Low-Profile Sliding window; Poly window </t>
  </si>
  <si>
    <t>TP-E-SM1-FS-SS</t>
  </si>
  <si>
    <t>Full size Bent Frame space maker; Sliding window; Vertical bar</t>
  </si>
  <si>
    <t>TP-E-SM1-US-SS</t>
  </si>
  <si>
    <t>US size Bent Frame space maker; Sliding window; Vertical bar bracket</t>
  </si>
  <si>
    <t>TP-E-SM6-FS-SS</t>
  </si>
  <si>
    <t>Full size Bent Frame space maker; Sliding window; Square hole punched</t>
  </si>
  <si>
    <t>TP-E-SM6-US-SS</t>
  </si>
  <si>
    <t>US size Bent Frame space maker; Sliding window; Square hole punched bracket</t>
  </si>
  <si>
    <t xml:space="preserve">CP-AR-361810-TL </t>
  </si>
  <si>
    <t>36.25"W x 18"L x 10"H; Tall lidded gun box with two cam locks; gas strut. Cargo rings on side and rear walls</t>
  </si>
  <si>
    <t>SB-ECO47377</t>
  </si>
  <si>
    <t>Eco Line Aluminum Storage Box 47"W x 37"L x 7"H with two lockable draw latches and rubber mat in drawer (compatible with Tahoe, Suburban and Expedition)</t>
  </si>
  <si>
    <t>TP-FTV-MID-F</t>
  </si>
  <si>
    <t>2020-25 Transit XLT Van Middle Cage; 15 passenger; Square hole punched.  Mount included in part no.</t>
  </si>
  <si>
    <t xml:space="preserve">SB-22629-LS </t>
  </si>
  <si>
    <t>22"W x 29"L x 6"H, Storage box includes one locking T-handle, 1.5" foam insert, slides lock into position to hold and secure in place when slide is at full extension.</t>
  </si>
  <si>
    <t>TP-E-SM3-US-SS</t>
  </si>
  <si>
    <t>US size Bent Frame space maker; Fixed Window:  50% Polycarbonate 50% Square hole punched</t>
  </si>
  <si>
    <t>KIT-TP-SL12-DG25-SS</t>
  </si>
  <si>
    <t>2020-25 Ram Partition Mounting Kit (TP-E-SL12-FS-SS, 2-SAB-DG-RAM, KP-DG25-SS)</t>
  </si>
  <si>
    <t>KIT-TP-SL6-DG25-SS</t>
  </si>
  <si>
    <t>2020-25 Ram Partition Mounting Kit (TP-E-SL6-FS-SS, 2-SAB-DG-RAM, KP-DG25-SS)</t>
  </si>
  <si>
    <t>KIT-TP-SL12-19S1-SS</t>
  </si>
  <si>
    <t>2019-22 Silverado Partition Kit (TP-E-SL12-FS-SS, 2-SAB-CHV19, KP-CHV19-SS)</t>
  </si>
  <si>
    <t>KIT-TP-SL12-21S1-SS</t>
  </si>
  <si>
    <t>2023-25 Silverado Partition Kit (TP-E-SL12-FS-SS, PM-21TH, KP-CHV19-SS)</t>
  </si>
  <si>
    <t>KIT-TP-SL6-19S1-SS</t>
  </si>
  <si>
    <t>2019-22 Silverado Partition Kit (TP-E-SL6-FS-SS, 2-SAB-CHV19, KP-CHV19-SS)</t>
  </si>
  <si>
    <t>KIT-TP-SL6-21S1-SS</t>
  </si>
  <si>
    <t>2023-25 Silverado Partition Kit (TP-E-SL6-FS-SS, PM-21TH, KP-CHV19-SS)</t>
  </si>
  <si>
    <t>KIT-TP-SL12-18XP-SS</t>
  </si>
  <si>
    <t>2018-25 Expedition Partition Kit (TP-E-SL12-FS-SS,  2-SAB-EXP18, KP-F150-15-SS)</t>
  </si>
  <si>
    <t>KIT-TP-SL6-18XP-SS</t>
  </si>
  <si>
    <t>2018-25 Expedition Partition Kit (TP-E-SL6-FS-SS, 2-SAB-EXP18, KP-F150-15-SS)</t>
  </si>
  <si>
    <t>KIT-TP-SL1-DG25-SS</t>
  </si>
  <si>
    <t>2020-25 Ram Partition Mounting Kit (TP-E-SL1-FS-SS, 2-SAB-DG-RAM, KP-DG25-SS)</t>
  </si>
  <si>
    <t>CP-GB132410-T</t>
  </si>
  <si>
    <t>13"W x 24"L x 10"H single drawer with draw latch handles and 2" lip</t>
  </si>
  <si>
    <t>KIT-TP-SL1-19S1-SS</t>
  </si>
  <si>
    <t xml:space="preserve">2019-22 Silverado Partition Kit (TP-E-SL1-FS-SS, 2-SAB-CHV19, KP-CHV19-SS)            </t>
  </si>
  <si>
    <t>KIT-TP-SL1-21S1-SS</t>
  </si>
  <si>
    <t>2023-25 Silverado Partition Kit (TP-E-SL1-FS-SS, PM-21TH, KP-CHV19-SS)</t>
  </si>
  <si>
    <t>KIT-TP-SL1-18XP-SS</t>
  </si>
  <si>
    <t>2018-25 Expedition Partition Kit (TP-E-SL1-FS-SS, 2-SAB-EXP18, KP-F150-15-SS)</t>
  </si>
  <si>
    <t>KIT-TP-SL12U-BB-SS</t>
  </si>
  <si>
    <t>2020-25 PI Utility | 2020-25 Explorer Civilian US Partition Kit (TP-E-SL12-US-SS, SAB-20-FDUV-BB, KP-UV20-DAP-SS)</t>
  </si>
  <si>
    <t>KIT-TP-SL6U-BB-SS</t>
  </si>
  <si>
    <t>2020-25 PI Utility | 2020-25 Explorer Civilian US Partition Kit (TP-E-SL6-US-SS, SAB-20-FDUV-BB, KP-UV20-DAP-SS)</t>
  </si>
  <si>
    <t>KIT-TP-SL7U-BB-SS</t>
  </si>
  <si>
    <t xml:space="preserve">2020-25 PI Utility | 2020-25 Explorer Civilian US Partition Kit (TP-E-SL7-US-SS, SAB-20-FDUV-BB, KP-UV20-DAP-SS) </t>
  </si>
  <si>
    <t>TP-E-SM12-US-SS</t>
  </si>
  <si>
    <t>US size Bent Frame space maker; Low-Profile Sliding Window; Poly window</t>
  </si>
  <si>
    <t>KIT-TP-SL12-11CH-SS</t>
  </si>
  <si>
    <t>2020-24 Charger Partition Kit (TP-E-SL12-US-SS, 2-SAB-CH11, KP-CH11BF-SS)</t>
  </si>
  <si>
    <t>KIT-TP-SL12-21F1-SS</t>
  </si>
  <si>
    <t>2021-25 F150 | 2021-25 F250 Partition Kit (TP-E-SL12-FS-SS,  PM-21F150, KP-F150-15-SS)</t>
  </si>
  <si>
    <t>KIT-TP-SL6-11CH-SS</t>
  </si>
  <si>
    <t>2020-24 Charger Partition Kit (TP-E-SL6-US-SS, 2-SAB-CH11, KP-CH11BF-SS)</t>
  </si>
  <si>
    <t>KIT-TP-SL6-21F1-F</t>
  </si>
  <si>
    <t>2021-25 F150 | 2021-25 F250 Flat Partition Kit (TP-E-SL6-FS-F, PM-21F150, KP-21F1-FLATKP)</t>
  </si>
  <si>
    <t>KIT-TP-SL6-21F1-SS</t>
  </si>
  <si>
    <t>2021-25 F150 | 2021-25 F250 Partition Kit (TP-E-SL6-FS-SS, PM-21F150, KP-F150-15-SS)</t>
  </si>
  <si>
    <t>KIT-TP-SL1U-BB-SS</t>
  </si>
  <si>
    <t>2020-25 PI Utility | 2020-25 Explorer Civilian US Partition Kit (TP-E-SL1-US-SS, SAB-20-FDUV-BB, KP-UV20-DAP-SS)</t>
  </si>
  <si>
    <t>KIT-TP-SL1-11CH-SS</t>
  </si>
  <si>
    <t>2020-24 Charger Partition Kit (TP-E-SL1-US-SS, 2-SAB-CH11, KP-CH11BF-SS)</t>
  </si>
  <si>
    <t>KIT-TP-SL1-21F1-SS</t>
  </si>
  <si>
    <t>2021-25 F150 | 2021-25 F250 Partition Kit (TP-E-SL1-FS-SS, PM-21F150 ,KP-F150-15-SS)</t>
  </si>
  <si>
    <t>KIT-TP-SL12-21DR-SS</t>
  </si>
  <si>
    <t>2021-25 Durango Partition Kit (TP-E-SL12-US-SS, PM-21DUR, KP-21DUR-SS)</t>
  </si>
  <si>
    <t>KIT-TP-SL3-21DR-SS</t>
  </si>
  <si>
    <t>2021-25 Durango Partition Kit (TP-E-SL3-US-SS, PM-21DUR, KP-21DUR-SS)</t>
  </si>
  <si>
    <t>KIT-TP-SL6-21DR-SS</t>
  </si>
  <si>
    <t>2021-25 Durango Partition Kit (TP-E-SL6-US-SS, PM-21DUR, KP-21DUR-SS)</t>
  </si>
  <si>
    <t>KIT-TP-SL6-21TH-SS</t>
  </si>
  <si>
    <t>2021-25 Tahoe | 2021-24 Suburban FS Partition Kit (TP-E-SL6-FS-SS, PM-21TH, KP-21TH-SS)</t>
  </si>
  <si>
    <t xml:space="preserve">CP-GB54713-US </t>
  </si>
  <si>
    <t>2021-25 F150-250 | 2021-25 Chevy Silverado under-seat rear storage box; features sliding drawer on DS and electronics box with hinged lid on PS (Silverado requires mount bracket AC-SB-CHV19-MNT)</t>
  </si>
  <si>
    <t>KIT-TP-SL1-21DR-SS</t>
  </si>
  <si>
    <t>2021-25 Durango Partition Kit (TP-E-SL1-US-SS, PM-21DUR, KP-21DUR-SS)</t>
  </si>
  <si>
    <t>KIT-TP-SL1-21TH-SS</t>
  </si>
  <si>
    <t>2021-25 Tahoe | 2021-24 Suburban FS Partition Kit (TP-E-SL1-FS-SS, PM-21TH, KP-21TH-SS)</t>
  </si>
  <si>
    <t>KIT-TP-SL6-24SEV-SS</t>
  </si>
  <si>
    <t>2024 Silverado EV FS Partition Kit (TP-E-SL6-FS-SS, PM-24SEV, KP-24SEV-SS)</t>
  </si>
  <si>
    <t>KIT-TP-SL1-24SEV-SS</t>
  </si>
  <si>
    <t>2024 Silverado EV FS Partition Kit (TP-E-SL1-FS-SS, PM-24SEV, KP-24SEV-SS)</t>
  </si>
  <si>
    <t>TP-20-FDUV-H-FX2</t>
  </si>
  <si>
    <t>2020-25 PI Utility rear partition with hinged equipment tray, square-hole window, driver and passenger side fire extinguisher compartment</t>
  </si>
  <si>
    <t>KIT-TP-SM1-21DR-SS</t>
  </si>
  <si>
    <t>2021-25 Durango Partition Kit (TP-E-SM1-US-SS, PM-21DUR-BF, KP-BFDUR-SS)</t>
  </si>
  <si>
    <t>KIT-TP-SM12-21DR-SS</t>
  </si>
  <si>
    <t>2021-25 Durango Partition Kit (TP-E-SM12-US-SS, PM-21DUR-BF, KP-BFDUR-SS)</t>
  </si>
  <si>
    <t>KIT-TP-SM6-21DR-SS</t>
  </si>
  <si>
    <t>2021-25 Durango Partition Kit (TP-E-SM6-US-SS, PM-21DUR-BF, KP-BFDUR-SS)</t>
  </si>
  <si>
    <t>KIT-TP-SM12U-BB-SS</t>
  </si>
  <si>
    <t>2020-25 PI Utility US Partition Kit (TP-E-SM12-US-SS, SAB-20-UV-BF, KP-20-BFUV-SS)</t>
  </si>
  <si>
    <t>KIT-TP-SM1U-BB-SS</t>
  </si>
  <si>
    <t>2020-25 PI Utility US Partition Kit (TP-E-SM1-US-SS, SAB-20-UV-BF, KP-20-BFUV-SS)</t>
  </si>
  <si>
    <t>KIT-TP-SM6U-BB-SS</t>
  </si>
  <si>
    <t>2020-25 PI Utility US Partition Kit (TP-E-SM6-US-SS, SAB-20-UV-BF, KP-20-BFUV-SS)</t>
  </si>
  <si>
    <t>37"W x 14"L x 6"H with two cam locks, one push-button lock and two gas struts</t>
  </si>
  <si>
    <t>KIT-TP-SM1-21TH-SS</t>
  </si>
  <si>
    <t>2021-25 Tahoe | 2021-24 Suburban Bent Frame Partition Kit (TP-E-SM1-FS-SS, PM-21TH-BF, KP-21TH-BF-SS)</t>
  </si>
  <si>
    <t>KIT-TP-SM6-21TH-SS</t>
  </si>
  <si>
    <t>2021-25 Tahoe | 2021-24 Suburban Bent Frame Partition Kit (TP-E-SM6-FS-SS, PM-21TH-BF, KP-21TH-BF-SS)</t>
  </si>
  <si>
    <t xml:space="preserve">SB-ECO44248-T </t>
  </si>
  <si>
    <t>CP-GBCAB-40</t>
  </si>
  <si>
    <t>40"W x 22.75"L x 6.5"H with two draw latch locking handles</t>
  </si>
  <si>
    <t xml:space="preserve">CP-GUNBOX </t>
  </si>
  <si>
    <t>48.5"W x 22"L x 65"H with two draw latch locking handles</t>
  </si>
  <si>
    <t>CP-GUNBOX-MS</t>
  </si>
  <si>
    <t xml:space="preserve">39"W x 22.75"L x 6.5"H with two draw latch locking handles         </t>
  </si>
  <si>
    <t xml:space="preserve">CP-GB3795-TL </t>
  </si>
  <si>
    <t>37"W x 22.75"L x 95"H with two draw latch locking handles</t>
  </si>
  <si>
    <t>CP-GBCAB-44</t>
  </si>
  <si>
    <t>44"W x 22.75"L x 65"H with two draw latch locking handles and carpet top</t>
  </si>
  <si>
    <t>SB-ECO44248T-LIP</t>
  </si>
  <si>
    <t>Eco Line Aluminum Storage Box 44"W x 24"L x 8"H with 1.5" 4-sided trim, two draw-tight locking handles, carpet top and rubber mat (compatible with Ford PIU and Tahoe)</t>
  </si>
  <si>
    <t xml:space="preserve">CP-GUNBOX-10 </t>
  </si>
  <si>
    <t>48.5"W x 22.75"L x 10"H with two draw latch locking handles</t>
  </si>
  <si>
    <t>CP-GB44248-T3</t>
  </si>
  <si>
    <t>44"W x 24"L x 8"H with 1.5" trim, two draw latch locking handles. Bolts to CP-UV20-MNT-EB/ CP-21TH-MNT-EB sold separately</t>
  </si>
  <si>
    <t xml:space="preserve">CP-GB44248-TL </t>
  </si>
  <si>
    <t>44"W x 24"L x 8"H with two draw latch locking handles. Bolts to top of elevated frame: CP-UV20-MNT-EB/ CP-21TH-MNT-EB sold separately</t>
  </si>
  <si>
    <t xml:space="preserve">CP-40-2020-GS </t>
  </si>
  <si>
    <t>40"W x 20"L x 20"H lidded box with two cam locks and two gas struts</t>
  </si>
  <si>
    <t>CP-GB203212-TL</t>
  </si>
  <si>
    <t>20"W x 32"L x 12 H with one draw-latch handle</t>
  </si>
  <si>
    <t>CP-GB3930-11</t>
  </si>
  <si>
    <t>39"W x 30"L x 11"H with two draw latch locking handles</t>
  </si>
  <si>
    <t>CP-GB392612-LIP</t>
  </si>
  <si>
    <t>39"W x 26"L x 12"H with two draw latch locking handles, 1.5" trim punched with bungee-cord holes</t>
  </si>
  <si>
    <t>20"W x 22"L x 12"H with one draw-tight locking handle and one push-button lock. (compatible with 2020-25 Ford PIU)</t>
  </si>
  <si>
    <t xml:space="preserve">CP-GB242212-T </t>
  </si>
  <si>
    <t>24"W x 22"L x 12"H; Tall box with T-handle locking draw latch, 1.5" trim and carpet on top</t>
  </si>
  <si>
    <t xml:space="preserve">CP-GB3795-PB </t>
  </si>
  <si>
    <t>37"W x 22.75"L x 95"H with push-button lock and two draw latch locking handles</t>
  </si>
  <si>
    <t xml:space="preserve">CP-GB37-PB </t>
  </si>
  <si>
    <t>37"W x 22.75"L x 65"H with push-button lock and two draw latch locking handles</t>
  </si>
  <si>
    <t xml:space="preserve">CP-GB3985-PB </t>
  </si>
  <si>
    <t>39"W x 22.75"L x 8.5"H with push button lock and two draw latch locking handles</t>
  </si>
  <si>
    <t xml:space="preserve">CP-GB39-PB </t>
  </si>
  <si>
    <t>39"W x 22.75"L x 6.5"H with push button lock and two draw latch locking handles</t>
  </si>
  <si>
    <t>CP-GB402812-TL</t>
  </si>
  <si>
    <t>40"W x 28"L x 12"H with two draw latch locking handles</t>
  </si>
  <si>
    <t xml:space="preserve">CP-GB40-PB </t>
  </si>
  <si>
    <t>40"W x 22"L x 6.5"H with push button lock, two draw latch locking handles and carpet top</t>
  </si>
  <si>
    <t xml:space="preserve">CP-GB48-PB </t>
  </si>
  <si>
    <t xml:space="preserve">48"W x 22"L x 65"H with push-button lock and two draw latch locking handles  </t>
  </si>
  <si>
    <t>SB-ECO473612-T</t>
  </si>
  <si>
    <t>Eco Line Aluminum Storage Box 47"W x 36"L x 12"H with three-sided 1.5" trim, two lockable draw latches and rubber mat in drawer (compatible with Tahoe, Suburban and Expedition)</t>
  </si>
  <si>
    <t xml:space="preserve">CP-MD-22 </t>
  </si>
  <si>
    <t>22"W x 22"L x 6"H; map drawer module</t>
  </si>
  <si>
    <t xml:space="preserve">CP-GB403011-PB </t>
  </si>
  <si>
    <t>40"W x 30"L x 11"H with push button lock, two draw latch locking handles and carpet top</t>
  </si>
  <si>
    <t>CP-GB403212-TL</t>
  </si>
  <si>
    <t>40"W x 32"L x 12"H with two draw latch locking handles and carpet top</t>
  </si>
  <si>
    <t>CP-GB44248-PB</t>
  </si>
  <si>
    <t>44"W x 24"L x 8"H with push button lock. Bolts to top of elevated frame: CP-UV20-MNT-EB/ CP-21TH-MNT-EB sold separately</t>
  </si>
  <si>
    <t xml:space="preserve">CP-GBCAB-44-PB </t>
  </si>
  <si>
    <t>44"W x 22.75"L x 65"H with push button lock, two draw latch handles and carpet top</t>
  </si>
  <si>
    <t xml:space="preserve">CP-GB402212-T </t>
  </si>
  <si>
    <t>40"W x 22"L x 12"H with two draw latch locking handles and 1.5" trim on top</t>
  </si>
  <si>
    <t>CP-GB403212-LIP</t>
  </si>
  <si>
    <t>40"W x 32"L x 12"H with two draw latch locking handles, 1.5" trim punched with bungee-cord holes and carpet top</t>
  </si>
  <si>
    <t xml:space="preserve">CP-GB482712-TL </t>
  </si>
  <si>
    <t>48.4"W x 27"L x 12 H with two draw latch locking handles and carpet top</t>
  </si>
  <si>
    <t xml:space="preserve">CP-WB-22 </t>
  </si>
  <si>
    <t>22"W x 22"L x 6"H; single whiteboard module</t>
  </si>
  <si>
    <t>CP-GB443212-TL</t>
  </si>
  <si>
    <t>44"W x 32"L x 12"H with two draw latch locking handles and carpet top</t>
  </si>
  <si>
    <t>CP-GB483212-TL</t>
  </si>
  <si>
    <t xml:space="preserve">48"W x 32"L x 12"H with two draw latch locking handles and carpet top </t>
  </si>
  <si>
    <t>CP-GB443212-PB</t>
  </si>
  <si>
    <t>44"W x 32"L x 12"H with two draw-tight locking handles and push-button lock (compatible with 2021-25 Tahoe)</t>
  </si>
  <si>
    <t xml:space="preserve">CP-GB403265-PB </t>
  </si>
  <si>
    <t>40"W x 32"L x 6.5"H with push button lock, two draw latch locking handles and carpet top</t>
  </si>
  <si>
    <t>44"W x 32"L x 12"H with push button lock, two draw latch handles, carpet top and foam inside drawer (compatible with 2021-25 Tahoe)</t>
  </si>
  <si>
    <t xml:space="preserve">CP-AL-GUNBOX-MS </t>
  </si>
  <si>
    <t>39"W x 22"L x 6.5"H with two draw latch locking handles. Made of aluminum.</t>
  </si>
  <si>
    <t xml:space="preserve">CP-GB392216-TL </t>
  </si>
  <si>
    <t>39"W x 22"L x 16.75"H with two draw latch locking handles</t>
  </si>
  <si>
    <t>CP-GB403212-PB</t>
  </si>
  <si>
    <t>40"W x 32"L x 12"H with push button lock, two draw latch locking handles and carpet top</t>
  </si>
  <si>
    <t xml:space="preserve">SB-ECO-2D-2635 </t>
  </si>
  <si>
    <t>Eco Line Aluminum Storage Box 26"W x 35"H x 20"L dual drawer box with 1.5" trim on top, bottom drawer for electronics (compatible with Tahoe)</t>
  </si>
  <si>
    <t>20"W x 34"L x 12"H with one push-button lock and two draw-latch handles. Features lock-out tabbed slides.</t>
  </si>
  <si>
    <t>CP-GB442914-LIP</t>
  </si>
  <si>
    <t>44"W x 29"L x 14.5"H with foam pad insert, two lockable T-handles and 1.5" trim around all four corners (compatible with 2021-25 Tahoe)</t>
  </si>
  <si>
    <t>CP-GB4818-TL</t>
  </si>
  <si>
    <t>48"W x 33"L x 18"H with two draw latch locking handles and carpet top</t>
  </si>
  <si>
    <t xml:space="preserve">PS-20-UV-OS-R </t>
  </si>
  <si>
    <t>2020-25 PI Utility plastic seat with OS belts, rear partition (square-hole), square-hole side walls</t>
  </si>
  <si>
    <t>CP-GB403212-PBK</t>
  </si>
  <si>
    <t>40"W x 32"L x 12"H with push button lock with key override, two draw latch locking handles and carpet top</t>
  </si>
  <si>
    <t>SB-ECO-2D-382422</t>
  </si>
  <si>
    <t>CP-GB443212-PB-T</t>
  </si>
  <si>
    <t>44"W x 32"L x 12"H with push button lock, two draw latch handles, carpet top, 1.5" trim and foam inside drawer (compatible with 2021-25 Tahoe)</t>
  </si>
  <si>
    <t>CP-GB403212-PBK-LIP</t>
  </si>
  <si>
    <t>40"W x 32"L x 12"H with push button lock with key override, two draw latch locking handles, 1.5" trim punched with bungee-cord holes and carpet top</t>
  </si>
  <si>
    <t>PS-21DUR-OS-R</t>
  </si>
  <si>
    <t>2021-25 Durango plastic seat with OS belts, TROY rear cage with square-hole side walls</t>
  </si>
  <si>
    <t xml:space="preserve">CP-GB373411-PB </t>
  </si>
  <si>
    <t>37 W x 34"L x 11"H with push-button lock, two draw latch locking handles and carpet top</t>
  </si>
  <si>
    <t>PS-20-UVFX-OS-R</t>
  </si>
  <si>
    <t xml:space="preserve">2020-25 PI Utility plastic seat with OS belts, rear partition (square-hole), with driver side fire compartment </t>
  </si>
  <si>
    <t xml:space="preserve">CP-4429-PB-LIP </t>
  </si>
  <si>
    <t>44"W x 29"L x 14.5"H with push button lock, two draw latch locking handles, 2" trim and carpet top</t>
  </si>
  <si>
    <t>SB-ECO-2D-2635-GP</t>
  </si>
  <si>
    <t>Eco Line Aluminum Storage Box 26"W x 35"L x 20"H dual drawer box with open storage compartment on driver side for Stop sticks, top 1.5" trim and bottom drawer (compatible with Tahoe)</t>
  </si>
  <si>
    <t>SB-ECO-2D-2635-T</t>
  </si>
  <si>
    <t>Eco Line Aluminum Storage Box 26"W x 35"L x 20"H dual drawer box with tactical ballistic shield, with open storage compartment on driver side and 1.5" trim on top</t>
  </si>
  <si>
    <t xml:space="preserve">PS-21TH-OS-R </t>
  </si>
  <si>
    <t>2021-25 Tahoe plastic seat with OS belts, rear partition (square-hole), square-hole side walls</t>
  </si>
  <si>
    <t>CP-483512-DL</t>
  </si>
  <si>
    <t>48"W x 35"L x 12"H with two draw latch locking handles and carpet top</t>
  </si>
  <si>
    <t>PS-21DUR-OS-FX</t>
  </si>
  <si>
    <t>2021-25 Durango plastic seat with OS belts, TROY rear cage with driver side fire extinguisher cubby and square-hole passenger wall.</t>
  </si>
  <si>
    <t>PS-21TH-OS-R-FX</t>
  </si>
  <si>
    <t xml:space="preserve">2021-25 Tahoe plastic seat with OS belts, rear partition (square-hole) with fire extinguisher compartment. </t>
  </si>
  <si>
    <t>PS-21DUR-OS-FX-RL</t>
  </si>
  <si>
    <t>CP-20UV-CARGO-DECK</t>
  </si>
  <si>
    <t>2020-25 PI Utility Cargo storage system with electronics sliding tray, rubber mat top and gap panel</t>
  </si>
  <si>
    <t xml:space="preserve">PS-20-UV-OS-RL                 </t>
  </si>
  <si>
    <t>CP-403212TL-IPD</t>
  </si>
  <si>
    <t>40"W x 32"L x 12"H with push button lock, two draw latch locking handles, two non-adjustable dividers, driver side storage length-wise and carpet top</t>
  </si>
  <si>
    <t>48"W x 33"L X 18"H with two draw latch locking handles, 1" trim and carpet top</t>
  </si>
  <si>
    <t>PS-21TH-OS-RL-FX</t>
  </si>
  <si>
    <t xml:space="preserve">CP-GB44248PB-T </t>
  </si>
  <si>
    <t>44"W x 24"L x 8"H with two draw latch locking handles, push button lock, 1" foam insert and 1.5" trim and carpet on top. Bolts to top of elevated frame: Ford PI &gt; CP-UV20-MNT-EB and Chevy Tahoe &gt; CP-21TH-MNT-EB sold separately</t>
  </si>
  <si>
    <t>PS-21TH-OS-RL</t>
  </si>
  <si>
    <t xml:space="preserve">CP-32TV-HSL </t>
  </si>
  <si>
    <t xml:space="preserve">10”W x 34”L x 24”H, Command post 32"TV slide-out cabinet, arm adjustability from 0-90º degrees, max articulation arm extension 28 ¼”. Due to the design mechanism, heavier TV’s may tilt down on the arm once extended. </t>
  </si>
  <si>
    <t>PS-20-UVFX-OS-RL</t>
  </si>
  <si>
    <t xml:space="preserve">CP-GB4438-TL </t>
  </si>
  <si>
    <t>44"W x 38"L x 11"H with two cam locks, one draw latch locking handle and carpet top</t>
  </si>
  <si>
    <t>PS-21DUR-OS-RL</t>
  </si>
  <si>
    <t>PS-18XP-OS-R</t>
  </si>
  <si>
    <t>2018-25 Expedition plastic seat with OS belts and square-hole rear partition with square-hole side walls</t>
  </si>
  <si>
    <t xml:space="preserve">CP-483512-PB </t>
  </si>
  <si>
    <t>48"W x 35"L x 12"H with push-button lock, two draw latch locking handles and carpet top</t>
  </si>
  <si>
    <t xml:space="preserve">CP-GB4430-PB </t>
  </si>
  <si>
    <t>44"W x 30"L x 11"H with push button lock and two draw latch locking handles</t>
  </si>
  <si>
    <t xml:space="preserve">CP-GB4818-PB </t>
  </si>
  <si>
    <t>48"W x 33"L x 18"H with push-button lock, two draw latch locking handles and carpet top</t>
  </si>
  <si>
    <t>48"W x 40"L x 12"H with two draw latch locking handles and carpet top</t>
  </si>
  <si>
    <t>40"W x 30"L x 12"H with two draw latch locking handles, slide-out tray with two handles and carpet top</t>
  </si>
  <si>
    <t>PS-18XP-OS-RL</t>
  </si>
  <si>
    <t>2018-25 Expedition plastic seat with OS belts and poly rear partition with square-hole side walls</t>
  </si>
  <si>
    <t xml:space="preserve">CP-GB404015-PB </t>
  </si>
  <si>
    <t>40"W x 40"L x 15"H with push button lock, two draw latch locking handles and carpet top</t>
  </si>
  <si>
    <t xml:space="preserve">EM-20UV-CRGDCK-STRG </t>
  </si>
  <si>
    <t>2020-25 PI Utility Cargo Deck with storage compartment, one electronics box, two open storage compartments, rubber mat top and gap panel</t>
  </si>
  <si>
    <t xml:space="preserve">CP-2DRAWER </t>
  </si>
  <si>
    <t>48.5"W x 22"L x 11"H with T-handle lock and two drawers side by side</t>
  </si>
  <si>
    <t xml:space="preserve">CP-MD-4422 </t>
  </si>
  <si>
    <t>44"W x 22"L x 5.25"H; full-size single map-drawer module</t>
  </si>
  <si>
    <t>47"W x 23.46"L x 5.25"H; full-size lockout slide map drawer module</t>
  </si>
  <si>
    <t xml:space="preserve">CP-MD-4822 </t>
  </si>
  <si>
    <t>48"W x 22"L x 5.25"H; single map-drawer module</t>
  </si>
  <si>
    <t xml:space="preserve">CP-2DRWR-MS </t>
  </si>
  <si>
    <t>40"W x 38"L x 10"H with two draw latch handles per drawer. Two drawers side by side</t>
  </si>
  <si>
    <t>CP-GB402212-PBK-LSD-T</t>
  </si>
  <si>
    <t>40"W x 22"L x 12"H with two draw latch locking handles, push button lock, locking drawer slides, foam insert, 1.5" trim and carpet on top</t>
  </si>
  <si>
    <t>44"W x 22"L x 7"H; command post module with computer tray and whiteboard</t>
  </si>
  <si>
    <t xml:space="preserve">CP-WB-4422 </t>
  </si>
  <si>
    <t>PS-18XP-OS-R-FX-LCP</t>
  </si>
  <si>
    <t xml:space="preserve">2018-25 Expedition Plastic seat with OS belts, rear partition (square-hole), with drive side fire extinguisher and passenger side locking compartment </t>
  </si>
  <si>
    <t xml:space="preserve">CP-GB484012-PB </t>
  </si>
  <si>
    <t>48"W x 40"L x 12"H with push-button lock, two draw latch locking handles and carpet top</t>
  </si>
  <si>
    <t xml:space="preserve">EM-20UV-CRGDCK-SSTK-2DWR </t>
  </si>
  <si>
    <t>2020-25 PI Utility Cargo Deck with electronics and weapon drawer push button lock, flare boxes, rubber mat on top and gap panel</t>
  </si>
  <si>
    <t>PS-20UV-SC-OS-R</t>
  </si>
  <si>
    <t xml:space="preserve">CP-ECO-3D-291330 </t>
  </si>
  <si>
    <t>Eco Line Aluminum Storage Box 29"W x 13"H x 30"L three drawer box with open storage compartment on driver side</t>
  </si>
  <si>
    <t>PS-20-FDUV-OS-R-H</t>
  </si>
  <si>
    <t>2020-25 PI Utility plastic seat with OS belts, rear partition (square-hole) with hinged equipment tray, square-hole side walls.</t>
  </si>
  <si>
    <t>PS-20UV-SC-OS-FX</t>
  </si>
  <si>
    <t xml:space="preserve">CP-GB443412-C-PBK-T </t>
  </si>
  <si>
    <t>44"W x 34"L x 12"H with push button key override lock, two draw latch handles, 1.5" trim, lock-out slides, carpeted top and carpet inside drawer (compatible with 2021-25 Tahoe)</t>
  </si>
  <si>
    <t>PS-20-UVFX-OS-R-H</t>
  </si>
  <si>
    <t xml:space="preserve">2020-25 PI Utility plastic seat with OS belts, rear partition (square-hole) with hinged equipment tray, with driver side fire compartment. </t>
  </si>
  <si>
    <t>PS-20UV-SC-OS-RL</t>
  </si>
  <si>
    <t>2020-25 PI Utility Single Cell with poly window; half cage, kick panel with foot pocket, removable emergency escape panel, replacement plastic seat with OS seatbelt system and cargo side window guards</t>
  </si>
  <si>
    <t>PS-20UV-OS-DIV-R</t>
  </si>
  <si>
    <t>2020-25 PI Utility poly center divider, full replacement plastic seat with OS seatbelt system, TROY rear partition square-hole pattern with side panels</t>
  </si>
  <si>
    <t>PS-18XP-OS-SC</t>
  </si>
  <si>
    <t>PS-21TH-OS-SC</t>
  </si>
  <si>
    <t xml:space="preserve">CP-2SU95-WBM </t>
  </si>
  <si>
    <t>48.5"W x 22"L x 6.3"H; full-size slide out whiteboard-drawer module</t>
  </si>
  <si>
    <t xml:space="preserve">CP-MS-1MD-30 </t>
  </si>
  <si>
    <t>39"W x 30"L x 5.25"H; mid-size single whiteboard-drawer module</t>
  </si>
  <si>
    <t>39"W x 22"L x 6.375"H; mid-size single whiteboard-drawer module</t>
  </si>
  <si>
    <t>PS-21TH-OS-DIV-R</t>
  </si>
  <si>
    <t>2021-25 Tahoe poly center divider, full replacement plastic seat with OS seatbelt system, TROY rear partition square-hole pattern with side panels</t>
  </si>
  <si>
    <t>EM-21DUR-CRGDCK-STRG</t>
  </si>
  <si>
    <t>2021-25 Durango Cargo Deck System features a lidded storage tray and includes a pull-out electronics drawer with a compression latch and lift turn lock</t>
  </si>
  <si>
    <t xml:space="preserve">EM-21TH-CRGDCK-SSTK-2DWR </t>
  </si>
  <si>
    <t>2021-25 Tahoe Cargo Deck Stop Stick Storage with electronics and weapon drawer push-button lock, flare boxes and rubber mat top.</t>
  </si>
  <si>
    <t xml:space="preserve">CP-302434-DRN </t>
  </si>
  <si>
    <t xml:space="preserve">30"W x 34"L x 24"H, Drone box single drawer includes one locking T-handle, 1.5" foam insert; bottom section features an electronics tray with ventilation louvers and one locking T-handle   </t>
  </si>
  <si>
    <t>CP-GB484012-T-PBK</t>
  </si>
  <si>
    <t xml:space="preserve">48"W x 40"L x 12"H with push-button key override lock, T-handles and 1.5” lip </t>
  </si>
  <si>
    <t>PS-21DUR-SC-OS-R</t>
  </si>
  <si>
    <t>2021-25 Dodge Durango Single Cell Kit with plastic seat with OS belts, TROY rear cage square hole punch design</t>
  </si>
  <si>
    <t>PS-20UV-OS-DIV-FX</t>
  </si>
  <si>
    <t>2020-25 PI Utility poly center divider, full replacement plastic seat with OS seatbelt system, TROY rear partition square-hole pattern with driver side fire extinguisher compartment</t>
  </si>
  <si>
    <t>PS-21TH-SC-OS-FX</t>
  </si>
  <si>
    <t xml:space="preserve">CP-2DRWR-MS-PB2 </t>
  </si>
  <si>
    <t>40"W x 38"L x 10"H with push button lock and two drawers side by side</t>
  </si>
  <si>
    <t>PS-21TH-SC-OS-RL</t>
  </si>
  <si>
    <t>2021-25 Tahoe Single Cell with poly window; half cage, kick panel with foot pocket, emergency escape panel, replacement plastic seat with OS seatbelt system, replacement passenger side door panel and cargo side window guards.</t>
  </si>
  <si>
    <t xml:space="preserve">EM-21TH-CRGDCK-SSTK-2DWR-TL </t>
  </si>
  <si>
    <t>2021-25 Tahoe Cargo Deck Stop Stick Storage with electronics and weapon drawer with draw latch handles, flare boxes and rubber mat top.</t>
  </si>
  <si>
    <t>PS-21TH-OS-DIV-FX</t>
  </si>
  <si>
    <t>2021-25 Tahoe poly center divider, full replacement plastic seat with OS seatbelt system, TROY rear partition square-hole pattern with driver side fire extinguisher compartment</t>
  </si>
  <si>
    <t>PS-21F1-OSPST-CWS</t>
  </si>
  <si>
    <t>2021-25 F150 bench plastic seat with OS belt system and cab window screen.</t>
  </si>
  <si>
    <t>PS-21DUR-SC-OS-FX</t>
  </si>
  <si>
    <t>2021-25 Dodge Durango Single Cell Kit with plastic seat with OS belts, TROY rear cage with driver side fire extinguisher cubby and square-hole passenger wall</t>
  </si>
  <si>
    <t>PS-20UV-OS-DIV-RL</t>
  </si>
  <si>
    <t>40"W x 38"L x 12"H with push button lock and two drawers side by side</t>
  </si>
  <si>
    <t>CP-2DE-443012-PB</t>
  </si>
  <si>
    <t>44"W x 30"L x 12"H Full-size storage drawer featuring two modulars configured into one unit. Larger drawer includes two lockable T-handles and one punch button.  Smaller electronics drawer with one lockable T-handle, includes ventilation louvers. Compatible with Expedition and Tahoe.</t>
  </si>
  <si>
    <t xml:space="preserve">CP-MS-2D7-22 </t>
  </si>
  <si>
    <t>39"W x 22"L x 7"H; mid-size two storage-drawer module, 5" face plate mounting area. Low-profile module.</t>
  </si>
  <si>
    <t xml:space="preserve">CP-MS-3D-22 </t>
  </si>
  <si>
    <t>39"W x 22"L x 12"H; mid-size three-drawer module (two storage and one file drawer)</t>
  </si>
  <si>
    <t>PS-21TH-OS-DIV-RL</t>
  </si>
  <si>
    <t xml:space="preserve">CP-GB444012-C-PBK-T </t>
  </si>
  <si>
    <t>44"W x 40"L x 12"H with push button key override lock, two draw latch handles, 1.5" trim, lock-out slides, carpeted top and carpet inside drawer</t>
  </si>
  <si>
    <t xml:space="preserve">CP-2DRAWER-PBK </t>
  </si>
  <si>
    <t>48.5"W x 22"L x 11"H with push button lock with key override and two drawers side by side</t>
  </si>
  <si>
    <t>48.4"W x 56"L x 12"H with two cam locks and one draw latch locking handle</t>
  </si>
  <si>
    <t>PS-21S1-OSPST-CWS</t>
  </si>
  <si>
    <t>2021-25 Silverado 1500 bench plastic seat with OS belt system and cab window screen.</t>
  </si>
  <si>
    <t>CP-473512-2D-TL</t>
  </si>
  <si>
    <t>47"W x 35"L x 12"H; Full-size dual storage drawer featuring two lockable T-handles, foam pad insert and carpet on top. Compatible with Expedition and Tahoe.</t>
  </si>
  <si>
    <t xml:space="preserve">CP-227210-TL </t>
  </si>
  <si>
    <t>22"W x 72"L x 10"H; 72" full extension truck bed drawer with one lockable T-handle, insert foam pad; mounts to OEM anchor points used on F250 truck bed. For truck beds 5.5' to  6'</t>
  </si>
  <si>
    <t xml:space="preserve">CP-3D-442212 </t>
  </si>
  <si>
    <t>44"W x 22"L x 12"H; three drawer module (two storage drawers, one file drawer, 10" face plate area). Face plates included.</t>
  </si>
  <si>
    <t xml:space="preserve">CP-FS-3D-22 </t>
  </si>
  <si>
    <t>48.5"W x 22"L x 13"H; three drawer module (two storage drawers, one file drawer with 10" face plate area). Face plates included.</t>
  </si>
  <si>
    <t xml:space="preserve">CP-GB405018-PB-T </t>
  </si>
  <si>
    <t>40"W x 50"L x 18"H with push button lock, two draw latch handles, 4" trim, lock-out slides, carpeted top, carpet inside drawer</t>
  </si>
  <si>
    <t xml:space="preserve">CP-1FD-4422-MWFP </t>
  </si>
  <si>
    <t>44"W x 22"L x 12"H; single file drawer module, computer tray, and 10" FP area (Compatible with 2021 Tahoe)</t>
  </si>
  <si>
    <t xml:space="preserve">CP-2D-483318-PB </t>
  </si>
  <si>
    <t>48"W x 33"L x 18"H with push button lock and two tall drawers side by side</t>
  </si>
  <si>
    <t xml:space="preserve">CP-MS-3DNFP-30 </t>
  </si>
  <si>
    <t>39"W x 30 L x 12"H; mid-size, three drawer module (two equal-size storage drawers, one file drawer)  No face plate area.</t>
  </si>
  <si>
    <t>CP-UNIV-402210-2DWR-PB2</t>
  </si>
  <si>
    <t xml:space="preserve">40"W x 22"L x 10"H; 2-drawer side by side weapon box, with T-handles and push button locks. Compatible with Durango cargo deck Part Number: EM-21DUR-CRGDCK-STRG </t>
  </si>
  <si>
    <t>2021-25 Tahoe Cargo Deck system with stop stick storage, electronics tray, and weapon drawer. Features a push-button lock, side flare boxes, lift-out tray, and rubber mat on the deck top for a non-slip surface. Designed to accommodate K9 transport boxes.</t>
  </si>
  <si>
    <t>SB-20UV-2RWD-ST</t>
  </si>
  <si>
    <t>2020-25 PI Utility second row driver side storage drawers with lockable T-handles, open storage area between the box and rear cage</t>
  </si>
  <si>
    <t>CP-2D-403412-PBK2</t>
  </si>
  <si>
    <t>40"W x 34"L x 12"H with unequal-size drawers, large drawer for six (6) plano boxes and push button locks with key override</t>
  </si>
  <si>
    <t xml:space="preserve">CP-2D-4422-MWFP </t>
  </si>
  <si>
    <t>44"W x 22"L x 12"H; computer slide-out tray, two stacked storage drawers, 10" face plate area. Face plates included. Compatible with Tahoe.</t>
  </si>
  <si>
    <t xml:space="preserve">CP-2D-484210PBK </t>
  </si>
  <si>
    <t>48"W x 42"L x 10"H with push button lock with key override and two drawers side by side</t>
  </si>
  <si>
    <t>48"W x 35"L x 12"H with push button lock and two drawers side by side</t>
  </si>
  <si>
    <t>CP-48359-2D-PB2</t>
  </si>
  <si>
    <t>48.75"W x 35"L x 9"H with two push button locks and two drawers side by side</t>
  </si>
  <si>
    <t xml:space="preserve">CP-FS-3D-22-RB </t>
  </si>
  <si>
    <t>48.5"W x 22"L x 14"H; custom: two storage drawers, 12x12 open area; file drawer; 10" face plate area.  Face plates included.</t>
  </si>
  <si>
    <t xml:space="preserve">CP-FS-MW2D-22 </t>
  </si>
  <si>
    <t>48.5"W x 22"L x 12"H; computer slide-out tray, two stacked storage drawers, 10" face plate area. Face plates included.</t>
  </si>
  <si>
    <t>SB-ECO-2D-382422-CBL</t>
  </si>
  <si>
    <t>Eco Line Aluminum Storage Box 38"W x 24"L x 22"H dual drawer box with two draw-tight locking handles and combo lock, top 1.5" lip and bottom drawer</t>
  </si>
  <si>
    <t>EM-20UV-CRGDCK-2DWR-STRG</t>
  </si>
  <si>
    <t>2020-25 PI Utility Cargo Deck with front storage compartment with lid. Features lift out storage tray, electronics drawer, weapon drawer equipped with a push button lock system</t>
  </si>
  <si>
    <t>EM-21TH-CRGDCK-2DWR-STRG</t>
  </si>
  <si>
    <t>2021-25 Tahoe Cargo Deck front storage compartment with lid. Features lift out storage tray, electronics drawer, weapon drawer and equipped with push button lock. Also features passenger and driver flare boxes and rubber mat on top for extra grip.</t>
  </si>
  <si>
    <t>KT-21F1-BEDSLD</t>
  </si>
  <si>
    <t>2021-25 F150 5' Truck bed cargo heavy-duty slide and vehicle-specific side mounts. Includes universal bed slide and vehicle specific mounts.</t>
  </si>
  <si>
    <t xml:space="preserve">KT-21S1-BEDSLD </t>
  </si>
  <si>
    <t>2021-25 Chevrolet Silverado 1500 5' Truck bed cargo heavy-duty slide and vehicle-specific side mounts. Includes universal bed slide and vehicle specific mounts.</t>
  </si>
  <si>
    <t xml:space="preserve">CP-FS50 </t>
  </si>
  <si>
    <t>24"W x 22"L x 18"H; Bottom: File drawer, 10" face plate area; Top: Map drawer with poly lid</t>
  </si>
  <si>
    <t>PS-21F1-OSPST-DBX-CWS</t>
  </si>
  <si>
    <t>2021-25 F150 bench plastic seat with OS belt system, dual storage seat box and cab window screen.</t>
  </si>
  <si>
    <t>PS-21S1-OSPST-DBX-CWS</t>
  </si>
  <si>
    <t>2021-25 Silverado 1500 bench plastic seat with OS belt system, dual storage seat box and cab window screen.</t>
  </si>
  <si>
    <t xml:space="preserve">CP-2D-4837-LIP </t>
  </si>
  <si>
    <t>48"W x 37"L x 10 H (driver side only), 2" trim on passenger side. Carpeted area includes four cargo rings. Milk crates.</t>
  </si>
  <si>
    <t>PS-21F1-SC-OS-WS</t>
  </si>
  <si>
    <t>2021-25 F150 Single cell with storage seat box, cab window screen and passenger side diamond pattern window screen- Electronics tray optional (PART NO: AC-21F1-SC-ETRAY)</t>
  </si>
  <si>
    <t>PS-21F1-SC-OS-WG</t>
  </si>
  <si>
    <t xml:space="preserve">2021-25 F150 Single cell with storage seat box, cab window screen and passenger side welded bars window guard- Electronics tray optional (PART NO: AC-21F1-SC-ETRAY) </t>
  </si>
  <si>
    <t xml:space="preserve">CP-3930-MS1-WB </t>
  </si>
  <si>
    <t>39"W x 30"L x 19.37"H weapon box on bottom, whiteboard module on top, trim pre-punched with holes</t>
  </si>
  <si>
    <t>48"W x 39"L x 21"H; one drawer at bottom; tow drawers side by side on top; push-button locks, 9 cargo rings</t>
  </si>
  <si>
    <t>CP-20UV-2S-BCEHS</t>
  </si>
  <si>
    <t>2020-25 PIU Utility three shelf system with top two height adjustable. Sliding trays include two black handles</t>
  </si>
  <si>
    <t xml:space="preserve">CP-SWAT-UV </t>
  </si>
  <si>
    <t>36"W x 29.8"L x 28"H with push button lock; three stacked drawers (bottom drawer 12", 2 drawers 7" each)</t>
  </si>
  <si>
    <t xml:space="preserve">CP-3D-443921-PB </t>
  </si>
  <si>
    <t>44"W x 39"L x 21"H; three drawer box with push button lock</t>
  </si>
  <si>
    <t>PS-22S1-SC-OS-WS</t>
  </si>
  <si>
    <t>2022-25 Silverado 1500 Single cell with storage seat box, cab window screen and passenger side diamond pattern window screen (EM-21S1-ECOVER-2ROW sold separately)</t>
  </si>
  <si>
    <t>PS-22S1-SC-OS-WG</t>
  </si>
  <si>
    <t>2022-25 Silverado 1500 Single cell with storage seat box, cab window screen and passenger side welded bars window guard (EM-21S1-ECOVER-2ROW sold separately)</t>
  </si>
  <si>
    <t xml:space="preserve">CP-3D-422829-PB </t>
  </si>
  <si>
    <t>42"W x 28"L x 29"H with 3-drawers weapon box with push button lock in each drawer (compatible with 2021-25 Tahoe)</t>
  </si>
  <si>
    <t xml:space="preserve">CP-5D-4737-SCALE </t>
  </si>
  <si>
    <t>46"W x 37"L x 26"H; five drawer scale storage box, stows up to 8 scales, 1.5" trim on top. Compatible with Tahoe and Suburban.</t>
  </si>
  <si>
    <t xml:space="preserve">CP-3926-3DPB </t>
  </si>
  <si>
    <t>39"W x 22"L x 26"H with push button lock; three stacked drawers (bottom drawer 13", 2 drawers 6.5" each)</t>
  </si>
  <si>
    <t xml:space="preserve">CP-GB2D-4430PB2 </t>
  </si>
  <si>
    <t>44"W x 30"L x 18"H with push button, draw latch and two stacked drawers</t>
  </si>
  <si>
    <t xml:space="preserve">CP-MS12D-FP </t>
  </si>
  <si>
    <t xml:space="preserve">39"W x 22"L x 12"H with two storage drawers, 5" face plate area and single map-drawer module </t>
  </si>
  <si>
    <t xml:space="preserve">CP-MS-UV-1DWB </t>
  </si>
  <si>
    <t>39"W x 22"L x 17.3"H; whiteboard pop-up drawer with tray, storage drawer and 10" face plate area</t>
  </si>
  <si>
    <t xml:space="preserve">CP-SWAT-3DPB </t>
  </si>
  <si>
    <t>48.5"W x 22"L x 29.5"H with 3 drawers: one vest drawer (13") and two weapon drawers (6.5" each); 1" trim</t>
  </si>
  <si>
    <t>CP-21F2-2C-307547-FP</t>
  </si>
  <si>
    <t>2021-25 F250 | 2021-25 F350 Truck bed side custom cabinets; driver side features 5" of face plate mounting space, vertical side drawer, lidded compartment, and battery holder. Passenger side features 18" of face plate mounting space, lidded compartment, and battery holder</t>
  </si>
  <si>
    <t>39"W x 22"L x 18"H; 3-drawer module, 10" face plate area and single whiteboard module</t>
  </si>
  <si>
    <t xml:space="preserve">CP-483824-PB3 </t>
  </si>
  <si>
    <t>48"W x 38"L x 24"H; one low-profile drawer, two tall drawers side by side, push button locks, trim piece and access panel</t>
  </si>
  <si>
    <t xml:space="preserve">CP-2D-303517-L </t>
  </si>
  <si>
    <t>30"W x 35 L x 22"H custom UV cabinet; 11" bottom drawer, 5"H top drawer, draw latch handles and 3-sided trim</t>
  </si>
  <si>
    <t xml:space="preserve">CP-482D-SWAT </t>
  </si>
  <si>
    <t>50"W x 61"L x 14.75"H for Expedition EL; Bottom box: 61"L x 9"H; Top box:  40"L x 14.75"H. 4-sided trim.</t>
  </si>
  <si>
    <t>CP-UV-GB1DMS1</t>
  </si>
  <si>
    <t>39"W x 22"L x 18"H; gun box with push buttonlock, storage drawer, 5" face plate area and single map-drawer module</t>
  </si>
  <si>
    <t xml:space="preserve">CP-3D-442217-MD </t>
  </si>
  <si>
    <t>44"W x 22"L x 17"H; storage drawers, file drawer, 10" face plate mounting area. Compatible with Tahoe and Suburban.</t>
  </si>
  <si>
    <t xml:space="preserve">CP-3D-442217-MD-B </t>
  </si>
  <si>
    <t>44"W x 22"L x 17"H; two storage drawers, one file drawer, one map drawer on bottom, 10" face plate mounting area. Compatible with Tahoe and Suburban.</t>
  </si>
  <si>
    <t xml:space="preserve">CP-4030-TVDRN </t>
  </si>
  <si>
    <t>40"W x 34"L Single drawer drone box with one locking T-handle, 1.5" foam insert; bottom section features an electronics tray with ventilation louvers and one locking T-handle.  Features slide-out cabinet for a 32" TV and top mounted 22"W x 29"L storage box with locking slides. Police Interceptor Utility setup use with low profile cargo mount | Tahoe setup okay to use with tilt-up mount. Command Post assembly includes:  CP-302434-DRN, SB-22629-LS, CP-32TV-HSL.</t>
  </si>
  <si>
    <t>CP-442414-TVDRN</t>
  </si>
  <si>
    <t>44"W x 24"L x 14"H Drone Command Post storage drawer with 1" foam inside, one push button lock with key override, side box storage drawer with one T-handle, bottom pull out drawer fits up to a 40" TV and a working surface with rubber pad.</t>
  </si>
  <si>
    <t xml:space="preserve">CP-2SU95-FS1 </t>
  </si>
  <si>
    <t>48.5"W x 22"L x 18"H; Full-size, storage drawers, file drawer, one map drawer, 10" face plate mounting area. Only works in Expedition and trucks.</t>
  </si>
  <si>
    <t xml:space="preserve">CP-CFS1-WB </t>
  </si>
  <si>
    <t>48.5"W x 22"L x 18"H; Bottom: three drawer module with 10" face plate area; Top: single whiteboard module. Only works in Expedition and trucks.</t>
  </si>
  <si>
    <t xml:space="preserve">CP-2D-485616-WR </t>
  </si>
  <si>
    <t>48"W x 56"L x 16"H; two drawer weather resistant vault with two locking T-handles, weatherproof trim seal, protective coating, built in heavy duty slides; mounts to OEM anchor points. For truck beds 5.5' to  6'</t>
  </si>
  <si>
    <t xml:space="preserve">CP-2SU95-MS1 </t>
  </si>
  <si>
    <t>39"W x 22"L x 17.5"H; 3-drawer module, 10" face plate area and single map drawer module</t>
  </si>
  <si>
    <t xml:space="preserve">CP-GB4030-TV-WB </t>
  </si>
  <si>
    <t>40"W x 30"L x 23"H; one TV drawer on top (currently designed to work with a Samsung 32" model #QN32Q50R), one storage drawer with 1" foam, drawer latch handles and cypher lock; bottom whiteboard pop-up drawer</t>
  </si>
  <si>
    <t xml:space="preserve">CP-GB4030-TV-WSWB </t>
  </si>
  <si>
    <t>40"W x 30"L x 23"H; one TV drawer on top (currently designed to work with a Samsung 32" model #QN32Q50R), one storage drawer with 1" foam, drawer latch handles and cypher lock; bottom whiteboard pop-up drawer is recessed to allow work surface space. (Optional add-on AC-CP-WSWB-LT Laptop tray with carpet for work surface)</t>
  </si>
  <si>
    <t xml:space="preserve">CP-FSMD1-3D-30 </t>
  </si>
  <si>
    <t>48.5"W x 30"L x 17"H; Bottom: large storage drawer, file drawer, 10" face plate area; Top: one map drawer, custom drawer. Only works in Expedition and Trucks.</t>
  </si>
  <si>
    <t xml:space="preserve">CP-FS-3D-17 </t>
  </si>
  <si>
    <t>48.5"W x 22"L x 17"H; map drawer module; two storage drawers with lock-out slides and 10" face plate area. Only works in Expedition and trucks.</t>
  </si>
  <si>
    <t xml:space="preserve">CP-FS3DMD-WB </t>
  </si>
  <si>
    <t>48.5"W x 22"L x 18"H; three drawer module with 10" face plate area, two map-drawer modules. Face plates included. Only works in Expedition and Trucks.</t>
  </si>
  <si>
    <t xml:space="preserve">CP-3D-MS1-30 </t>
  </si>
  <si>
    <t>39"W x 30"L x 17.3"H; 3-drawer module, no face plate area and single map drawer module</t>
  </si>
  <si>
    <t>48.5"W x 22"L x 18"H; three drawer module. Two storage drawers, one file drawer, 10" face plate mounting area. Only works in Expedition and trucks.</t>
  </si>
  <si>
    <t xml:space="preserve">CP-2SU95-MW </t>
  </si>
  <si>
    <t>48.5"W x 22"L x 18"H; dual map-drawer module, computer tray, file drawer with 10" face plate area</t>
  </si>
  <si>
    <t xml:space="preserve">CP-2D-483616-WR </t>
  </si>
  <si>
    <t>48"W x 36"L x 16"H; two drawer weather resistant vault with two locking T-handles, weatherproof trim seal, protective coating, built in heavy duty slides; mounts to OEM anchor points. For truck beds 5.5' to  6'</t>
  </si>
  <si>
    <t xml:space="preserve">CP-2D-484016-WR </t>
  </si>
  <si>
    <t>48"W x 40"L x 16"H; two drawer weather resistant vault with two locking T-handles, weatherproof trim seal, protective coating, built in heavy duty slides; mounts to OEM anchor points. For truck beds 5.5' to  6'</t>
  </si>
  <si>
    <t xml:space="preserve">CP-FS-3DMWB-30 </t>
  </si>
  <si>
    <t>48.5"W x 30"L x 18"H; three drawer module with 10" face plate area; whiteboard and map drawer modules. Only works in Expedition and Trucks.</t>
  </si>
  <si>
    <t xml:space="preserve">CP-FSMW-MDWB </t>
  </si>
  <si>
    <t>48.5"W x 22"L x 17"H; Bottom: Computer Slide-out tray, two drawers, 10" face plate area; Top: one map drawer and one whiteboard drawer</t>
  </si>
  <si>
    <t xml:space="preserve">CP-1FD-4422-MWFP-MD </t>
  </si>
  <si>
    <t>44"W x 22"L x 18"H; Top: computer slide-out tray, one drawer, 10" face plate area; Bottom: one map drawer</t>
  </si>
  <si>
    <t xml:space="preserve">CP-UNIV-442923-3DPB-IK </t>
  </si>
  <si>
    <t xml:space="preserve">44"W x 28.5"L x 23"H; three drawer command post, top drawer, pop-up whiteboard, I-Key monitor and keyboard mount, middle storage drawer, bottom storage drawer with push button lock  </t>
  </si>
  <si>
    <t xml:space="preserve">CP-MS-3DMD-30 </t>
  </si>
  <si>
    <t>39"W x 30"L x 17.3"H; single map-drawer module, 3-drawer module with 10" face plate area</t>
  </si>
  <si>
    <t>KIT-SB-20UV-2RW-SET</t>
  </si>
  <si>
    <t xml:space="preserve">2020-25 PI Utility second row passenger and driver side storage drawers with four-sided 2" lip, lockable T-handles and open storage area </t>
  </si>
  <si>
    <t xml:space="preserve">CP-434324-3DWR-EXPL </t>
  </si>
  <si>
    <t>43"W x 43"L x 24"H; three drawer, 1.5" trim, T-handles and push button lock on each drawer, includes explosive compartment with wood divider and key override. Designed for SWAT.</t>
  </si>
  <si>
    <t>46"W x 30"L x 23"H; three drawer command post, top drawer with push button lock, middle drawer with whiteboard and computer tray. Compatible with Tahoe and Suburban.</t>
  </si>
  <si>
    <t>40"W x 36"L x 17.25"H; mid-size, storage drawers, face plate mounting, sliding computer tray</t>
  </si>
  <si>
    <t xml:space="preserve">CP-EXP18-VC-COMMAND </t>
  </si>
  <si>
    <t>47"W x 36"L x 22"H; Full-size command post with two bottom drawers, work surface/drawer, top drawer, file drawer, 6" face plate area for Ford Expedition</t>
  </si>
  <si>
    <t xml:space="preserve">CP-SD-COMMAND </t>
  </si>
  <si>
    <t>48"W x 30"L x 20.7"H; storage drawer, file drawer; 3-drawer slide-out module; 15" face plate area; access panel</t>
  </si>
  <si>
    <t>CP-FQ-403021</t>
  </si>
  <si>
    <t>40"W x 30"L x 28"H; bottom whiteboard drawer with two storage drawers, and three 6" face plate areas</t>
  </si>
  <si>
    <t xml:space="preserve">40"W x 30"L x 16"H; one TV drawer on top (currently designed to work with a Samsung 40",model #UN40N5200AF), two storage drawers each with a latch handle, bottom whiteboard pop-up drawer and three sections of 4" face plate mounting space </t>
  </si>
  <si>
    <t>CP-2D-485616-WRW-PB</t>
  </si>
  <si>
    <t>48"W x 56"L x 16"H;  two drawer weather resistant vault with push button lock, two locking T-handles and wood lining. For truck beds 5.5' to 6'</t>
  </si>
  <si>
    <t xml:space="preserve">CP-3D-463625-WB-MD </t>
  </si>
  <si>
    <t>46"W x 36"L x 25"H; command post with hinged drawer face whiteboard drawer. Compatible with Tahoe.</t>
  </si>
  <si>
    <t xml:space="preserve">CP-KC-COMMAND </t>
  </si>
  <si>
    <t>48"W x 36"L x 26.5"H; two drawers, one slide-out 3-drawer module with whiteboard easel; computer tray, 15" face plate area</t>
  </si>
  <si>
    <t>CP-403424-DRN-WBTV</t>
  </si>
  <si>
    <t xml:space="preserve">40"W x 34"L x 24"H Single drawer drone box with white board storage unit, monitor cabinet and small electronics box </t>
  </si>
  <si>
    <t>CP-443625-WB</t>
  </si>
  <si>
    <t>44"W x 36"L x 25.5"H; three file drawers, 12" face plate, slide-out module whiteboard easel and driver side diamond-plated open space. Compatible with 2021-25 Tahoe.</t>
  </si>
  <si>
    <t xml:space="preserve">CP-FS3D-WB1 </t>
  </si>
  <si>
    <t>48"W x 36"L x 25.5"H; Full-size command post with storage drawers and large pop-up whiteboard in drawer. Only works in Expedition and trucks.</t>
  </si>
  <si>
    <t xml:space="preserve">CP-OC-COMMAND </t>
  </si>
  <si>
    <t>48"W x 33"L x 28.2"H; two storage drawers; 3-drawer slide-out; map drawer module; slide tray, 18" face plate area, trim</t>
  </si>
  <si>
    <t>KIT-21F1-2C-CPTV</t>
  </si>
  <si>
    <t xml:space="preserve">2021-25 F150 Truck bed center command post with drawers, TV mount, white board, two side cabinets and 40"x 30" bed slide tray </t>
  </si>
  <si>
    <t xml:space="preserve">KIT-21F2-2C-CPTV </t>
  </si>
  <si>
    <t>2021-25 F250 | 2021-25 F350; Truck bed command post with two drawers, two side cabinets, center shelf with top cover</t>
  </si>
  <si>
    <t xml:space="preserve">KIT-21S2-2C-CPTV </t>
  </si>
  <si>
    <t>2021-25 Chevrolet Silverado 2500; Truck bed command post and cabinets; two side cabinets, one center command post with drawers, center shelf and top cover</t>
  </si>
  <si>
    <t>B-FORCE LED Light Bar Single Row 10 inch Combo w/5W Cree</t>
  </si>
  <si>
    <t>B-FORCE LED Light Bar Single Row 20 inch Combo w/5W Cree</t>
  </si>
  <si>
    <t>B-FORCE LED Light Bar Single Row 30 inch Combo w/5W Cree</t>
  </si>
  <si>
    <t>B-FORCE LED Light Bar Single Row 50 inch Combo w/5W Cree</t>
  </si>
  <si>
    <t>B-FORCE LED Light Bar Single Row 6 inch Flood w/5W Cree</t>
  </si>
  <si>
    <t>B-FORCE LED Light Bar Double Row 50 inch Combo w/3W Cree</t>
  </si>
  <si>
    <t>B-FORCE LED Light Bar Double Row 6 inch Combo w/3W Cree</t>
  </si>
  <si>
    <t>B-FORCE LED Light Bar Double Row 10 inch Combo w/3W Cree</t>
  </si>
  <si>
    <t>B-FORCE LED Light Bar Double Row 12 inch Combo w/3W Cree</t>
  </si>
  <si>
    <t>B-FORCE LED Light Bar Double Row 20 inch Combo w/3W Cree</t>
  </si>
  <si>
    <t>B-FORCE LED Light Bar Double Row 2 inch Flood w/3W Cree</t>
  </si>
  <si>
    <t>B-FORCE LED Light Bar Double Row 30 inch Combo w/3W Cree</t>
  </si>
  <si>
    <t>B-FORCE LED Light Bar Double Row 40 inch Combo w/3W Cree</t>
  </si>
  <si>
    <t>B-FORCE LED Light Bar Double Row 4 inch Flood w/3W Cree</t>
  </si>
  <si>
    <t>LED Light Bar Low Profile Single Row 20 inch Flood w/5W Cree</t>
  </si>
  <si>
    <t>LED Light Bar Low Profile Single Row 20 inch Flex w/5W Cree</t>
  </si>
  <si>
    <t>LED Light Bar Low Profile Single Row 30 inch Flood w/5W Cree</t>
  </si>
  <si>
    <t>LED Light Bar Low Profile Single Row 40 inch Flex w/5W Cree</t>
  </si>
  <si>
    <t>LED Light Bar Single Row 5.5 inch Flex w/3W Epistar (Set of 2)</t>
  </si>
  <si>
    <t>LED Light Bar Double Row 6 inch Combo w/3W Epistar</t>
  </si>
  <si>
    <t>LED Light Bar Double Row 6 inch Spot w/3W Epistar</t>
  </si>
  <si>
    <t>LED Light Bar Double Row 12 inch Combo w/3W Epistar</t>
  </si>
  <si>
    <t>LED Light Bar Double Row 20 inch Combo w/3W Epistar</t>
  </si>
  <si>
    <t>LED Light Bar Double Row 20 inch Spot w/3W Epistar</t>
  </si>
  <si>
    <t>LED Light Bar Double Row 30 inch Combo w/3W Epistar</t>
  </si>
  <si>
    <t>LED Light Bar Double Row 40 inch Combo w/3W Epistar</t>
  </si>
  <si>
    <t>LED Light Bar Double Row 40 inch Spot w/3W Epistar</t>
  </si>
  <si>
    <t>LED Light Bar Double Row 50 inch Combo w/3W Epistar</t>
  </si>
  <si>
    <t>LED Auxiliary Light 4.75 inch Round Spot w/3W Osram (Set of 2)</t>
  </si>
  <si>
    <t>LED Auxiliary Light 4.75 inch Round Flood w/3W Osram (Set of 2)</t>
  </si>
  <si>
    <t>LED Auxiliary Light 4.5 inch x 4.5 inch Square Spot w/3W Osram (Set of 2)</t>
  </si>
  <si>
    <t>LED Auxiliary Light 4.5 inch x 4.5 inch Square Flood w/3W Osram (Set of 2)</t>
  </si>
  <si>
    <t>LED Work Utility Light Round 4.5 inch Spot w/3W Epistar</t>
  </si>
  <si>
    <t>LED Work Utility Light Round 5 inch Spot w/3W Epistar</t>
  </si>
  <si>
    <t>LED Work Utility Light Round 5 inch Flood w/3W Epistar</t>
  </si>
  <si>
    <t>LED Work Utility Light Square 4.5 inch x 5.4 inch Flood w/3W Epistar</t>
  </si>
  <si>
    <t>LED Work Utility Light Square 4.6 inch x 5.3 inch Spot w/3W Epistar</t>
  </si>
  <si>
    <t>LED Work Utility Light Square 4.6 inch x 5.3 inch Flood w/3W Epistar</t>
  </si>
  <si>
    <t>11 ft. long, 14 gauge includes 15 amp fuse w/hard plastic wire loom cover and single connector.</t>
  </si>
  <si>
    <t>11 ft. long, 12 gauge includes 30 amp fuse w/hard plastic wire loom cover and single connector.</t>
  </si>
  <si>
    <t>14 ft. long, 14 gauge includes 20 amp fuse w/hard plastic wire loom cover w/pigtail to connect 2 lights.</t>
  </si>
  <si>
    <t>FM4Q 3W Osram w/mounting hardware and pigtail connectors (set of 2)</t>
  </si>
  <si>
    <t>Set of (2) 3.2 in. x 3 in. 5W Cree Spot beam</t>
  </si>
  <si>
    <t>Set of (2) 3.2 in. x 3 in. 5W Cree Flood beam</t>
  </si>
  <si>
    <t>Set of (2) 3.2 in. x 3 in. 5W Cree Spot beam w/Black faceplate</t>
  </si>
  <si>
    <t>Set of (2) 3.2 in. x 3 in. 5W Cree Flood beam w/Black faceplate</t>
  </si>
  <si>
    <t>LED Auxiliary Light 3 inch x 2.5 inch Flood w/5W Cree (Set of 2)</t>
  </si>
  <si>
    <t>Single Row 6 x 3W Bridgelux w/terminated wiring (set of 2)</t>
  </si>
  <si>
    <t>Includes qty 4 lights, 14 feet 9 inches long wiring harness and switch.</t>
  </si>
  <si>
    <t>Wrangler JK 2007-2018; Wrangler JL 2018-2025</t>
  </si>
  <si>
    <t>Wrangler JK 2007-2018</t>
  </si>
  <si>
    <t>Wrangler JL 2018-2025; Gladiator 2020-2025 (Excl. Mohave &amp; Rubicon 392)(Excl. 4xe)</t>
  </si>
  <si>
    <t>Wrangler JL 2dr/Wrangler JL Unlimited 4dr 2018-2025 (Excl Sport, Sport S &amp; Sahara); Gladiator 2020-2025 (Excl. Sport, Sport S, Overland, North Edition)</t>
  </si>
  <si>
    <t>Truck-Pal Tailgate Ladder</t>
  </si>
  <si>
    <t>27" step for 2" receiver</t>
  </si>
  <si>
    <t>34" step for 2" receiver</t>
  </si>
  <si>
    <t>F-250/350/450/550 Crew Cab 1999-2016</t>
  </si>
  <si>
    <t>Silverado/Sierra 1500 Ext Cab 1999-2013; 2500/3500 Extended/Double Cab 2001-2019 (Body Mount)</t>
  </si>
  <si>
    <t>Silverado/Sierra 1500 Crew Cab 2004-2013; 2500/3500 2001-2019 (Body Mount)</t>
  </si>
  <si>
    <t>Tacoma Double Cab 2005-2023</t>
  </si>
  <si>
    <t>Tacoma Double Cab 2024-2025</t>
  </si>
  <si>
    <t>Tundra Double Cab 2007-2021</t>
  </si>
  <si>
    <t>Tundra CrewMax 2007-2021</t>
  </si>
  <si>
    <t>Wrangler JK Unlimited 4dr 2007-2018</t>
  </si>
  <si>
    <t>Ram 1500 Quad Cab 2009-2018; Ram 1500 Classic Quad Cab 2019-2024</t>
  </si>
  <si>
    <t>Ram 1500 Crew Cab 2009-2018; 1500 Classic Crew Cab 2019-2024; 2500/3500 Crew Cab 2010-2025 (Excl Cab Chassis w/Def Tank)</t>
  </si>
  <si>
    <t>Silverado/Sierra 1500 Double Cab 2014-2018 (Rocker Mount); Silverado LD 2019; Sierra 1500 Limited 2019; 2500/3500 Double Cab 2015-2019 (Excl Diesel)</t>
  </si>
  <si>
    <t>Silverado/Sierra 1500 Crew Cab 2014-2018 (Rocker Mount); 25/3500 Crew Cab 2015-2019 (Excl.Diesel)</t>
  </si>
  <si>
    <t>4Runner Trail Edition 2010-2017 (Excl. Limited); 4Runner SR5/TRD/TRD Pro 2014-2024 (Excl. Limited, Nightshade &amp; TRD Sport)</t>
  </si>
  <si>
    <t>F-150 SuperCab 2015-2025; F-250/350/450/550 SuperCab 2017-2025</t>
  </si>
  <si>
    <t>F-150 SuperCrew 2015-2025; F-250/350/450/550 Crew Cab 2017-2025; Lightning 2022-2025</t>
  </si>
  <si>
    <t>Colorado/Canyon Crew Cab 2015-2025</t>
  </si>
  <si>
    <t>Wrangler JL Unlimited 4dr 2018-2025</t>
  </si>
  <si>
    <t>Ram 1500 Crew Cab 2019-2025 (Excl. 1500 Classic)</t>
  </si>
  <si>
    <t>Ram 1500 Quad Cab 2019-2025 (Excl. 1500 Classic)</t>
  </si>
  <si>
    <t>Silverado/Sierra 1500 Double Cab 2019-2025 (Excl. 2019 Silverado LD/Sierra 1500 Limited); Silverado/Sierra 2500/3500 Double Cab 2020-2025</t>
  </si>
  <si>
    <t>Silverado/Sierra 1500 Crew Cab 2019-2025 (Excl. 2019 Silverado LD/Sierra 1500 Limited); Silverado/Sierra 2500/3500 Crew Cab 2020-2025</t>
  </si>
  <si>
    <t>Gladiator 2020-2025</t>
  </si>
  <si>
    <t>Bronco 2021-2025 2dr (Excl. Bronco Sport)</t>
  </si>
  <si>
    <t>Bronco 2021-2025 4dr (Excl. Bronco Sport)</t>
  </si>
  <si>
    <t>Tundra Double Cab 2022-2025</t>
  </si>
  <si>
    <t>Tundra CrewMax 2022-2025</t>
  </si>
  <si>
    <t>2005-2023 Tacoma Double Cab</t>
  </si>
  <si>
    <t>2024 Tacoma Double Cab Pickup</t>
  </si>
  <si>
    <t>2007-2021 Tundra Double Cab</t>
  </si>
  <si>
    <t>2007-2021 Tundra CrewMax Cab</t>
  </si>
  <si>
    <t>2009-2018 Ram 1500 Quad Cab; 2019-2024 Ram 1500 Classic Quad Cab</t>
  </si>
  <si>
    <t>2009-2018 Ram 1500 Crew Cab; 2019-2024 Ram 1500 Classic Crew Cab; 2010-2024 Ram 2500/3500 Crew Cab (Excl. Cab Chassis W/Def Tank)</t>
  </si>
  <si>
    <t>2025 Toyota 4Runner</t>
  </si>
  <si>
    <t>2024-2025 Toyota Land Cruiser</t>
  </si>
  <si>
    <t>4Runner Trail Edition 2010-2017 (Excl. Limited); 4Runner SR5/TRD/TRD Pro 2014-2024 (Excl. Limited, Nightshade, and TRD Sport)</t>
  </si>
  <si>
    <t>2015-2025 F-150 SuperCab; 2017-2024 F-250/350 Super Duty SuperCab</t>
  </si>
  <si>
    <t>2015-2025 F-150 SuperCrew Cab; 2022-2024 F-150 Lightning SuperCrew Cab; 2017-2024 F-250/350 Super Duty Crew Cab</t>
  </si>
  <si>
    <t>2015-2025 Colorado/Canyon Crew Cab</t>
  </si>
  <si>
    <t>2018-2024 Wrangler 4dr</t>
  </si>
  <si>
    <t>2019-2025 1500 Quad Cab</t>
  </si>
  <si>
    <t>2019-2025 Silverado/Sierra 1500 Double Cab; 2020-2025 Silverado/Sierra 2500/3500 HD Double Cab</t>
  </si>
  <si>
    <t>2019-2025 Silverado/Sierra 1500 Crew Cab; 2020-2025 Silverado/Sierra 2500/3500 HD Crew Cab</t>
  </si>
  <si>
    <t>2019-2024 Ranger SuperCrew</t>
  </si>
  <si>
    <t>2020-2025 Gladiator</t>
  </si>
  <si>
    <t>Bronco 4dr 2021-2025 (Excl. Bronco Sport)</t>
  </si>
  <si>
    <t>2022-2025 Tundra Double Cab</t>
  </si>
  <si>
    <t>2022-2025 Tundra CrewMax Cab</t>
  </si>
  <si>
    <t>F-250/350/450/550HD 4Dr Super Cab 1999-2016</t>
  </si>
  <si>
    <t>F-250/350/450/550HD Crew Cab 1999-2016</t>
  </si>
  <si>
    <t>Silverado/Sierra 1500 Reg Cab 1999-2013; 2500LD Reg Cab 1999-2004; 25/3500HD Reg Cab 2001-2014</t>
  </si>
  <si>
    <t>Silverado/Sierra 1500 Ext Cab 1999-2013; 2500LD Ext Cab 1999-2004; 25/3500HD Ext Cab 2001-2014</t>
  </si>
  <si>
    <t>Silverado/Sierra 1500 Crew Cab 1999-2013; 1500HD Crew Cab 2001-2007; 25/3500HD Crew Cab 2001-2014 (Excl 2011-2014 HD Diesel)</t>
  </si>
  <si>
    <t>Ram 1500 Quad Cab 2002-2008; 25/3500 Quad Cab 2003-2009; 45/5500 Quad Cab 2008-2009</t>
  </si>
  <si>
    <t>Ram 1500 2002-2008; 25/3500 2003-2009; 45/5500 2008-2009 Reg Cab</t>
  </si>
  <si>
    <t>F-150 Reg Cab 2004-2008</t>
  </si>
  <si>
    <t>F-150 SuperCab 2004-2008</t>
  </si>
  <si>
    <t>F-150 SuperCrew 2004-2008; Mark LT 2006-2008</t>
  </si>
  <si>
    <t>Ram Mega Cab 2006-2009</t>
  </si>
  <si>
    <t>Avalanche (Excl. 2500) w/o cladding 2003-2013; Suburban 1500 2000-2014 (Excl. 2004-2008 Z71)(Excl. 2500); Yukon XL 2000-2014 (Excl. 2500)</t>
  </si>
  <si>
    <t>Tahoe 4Dr 2000-2014 (Excl 2002-2008 Z71 model); Yukon 4Dr 2000-2014 (Excl 2004-2010 Z71 model)</t>
  </si>
  <si>
    <t>F-150 SuperCrew 2009-2014</t>
  </si>
  <si>
    <t>Ram 1500 Regular Cab 2009-2018; 1500 Classic Regular Cab 2019-2024; 2500/3500 Regular Cab 2010-2025</t>
  </si>
  <si>
    <t>Ram 2500/3500 Mega Cab 2010-2024</t>
  </si>
  <si>
    <t>4Runner SR5 2010-2013 (Excl Trail Edition); Limited &amp; TRD Sport 2010-2024</t>
  </si>
  <si>
    <t>Explorer 2011-2019</t>
  </si>
  <si>
    <t>Grand Cherokee 2011-2017</t>
  </si>
  <si>
    <t>Silverado/Sierra 1500 Double Cab 2014-2018 (Body Mount); Silverado LD/Sierra 1500 Limited Double Cab 2019 (Body Mount)</t>
  </si>
  <si>
    <t>Silverado/Sierra 1500 Crew Cab 2014-2018 (Body Mount)</t>
  </si>
  <si>
    <t>Silverado/Sierra 2500/3500 Double Cab 2015-2019 (Body Mount)</t>
  </si>
  <si>
    <t>Silverado/Sierra 2500/3500 Crew Cab 2015-2019 (Body Mount)</t>
  </si>
  <si>
    <t>F-150 Regular Cab 2015-2025; F-250/350/450/550/600 Super Duty Regular Cab 2017-2025</t>
  </si>
  <si>
    <t>Titan XD Crew Cab 2016-2024</t>
  </si>
  <si>
    <t>Silverado/Sierra 1500 Double Cab 2019-2025 (Excl. 2019 Silverado LD/Sierra 1500 Limited)</t>
  </si>
  <si>
    <t>Silverado/Sierra 1500 Crew Cab 2019-2025 (Excl. 2019 Silverado LD/Sierra 1500 Limited)</t>
  </si>
  <si>
    <t>F-250/350/450/550 Super Cab 1999-2016</t>
  </si>
  <si>
    <t>Silverado/Sierra 1500 Reg Cab 2007-2013; Silverado/Sierra 2500/3500HD Reg Cab 2007-2014</t>
  </si>
  <si>
    <t>Silverado/Sierra 1500 Ext Cab 2007-2013; 25/3500HD Ext Cab 2007-2010 (Incl Diesel); 25/3500HD Ext Cab 2011-2014 (Excl Diesel)</t>
  </si>
  <si>
    <t>Silverado/Sierra 1500 Crew Cab 2007-2013; 25/3500HD Crew Cab 2007-2010 (Incl Diesel); 25/3500HD Crew Cab 2011-2014 (Excl Diesel)</t>
  </si>
  <si>
    <t>Tacoma Access Cab 2005-2023</t>
  </si>
  <si>
    <t>Tacoma XtraCab 2024-2025</t>
  </si>
  <si>
    <t>Wrangler JK 2dr (Excl. 2018 JL) 2007-2018</t>
  </si>
  <si>
    <t>F-150 SuperCab 2009-2014</t>
  </si>
  <si>
    <t>4Runner Limited 2010-2024; 4Runner SR5 2010-2013 (Excl. Trail Edition)</t>
  </si>
  <si>
    <t>Silverado/Sierra 1500 Regular Cab 2014-2018; 2500/3500 Regular Cab 2015-2019 (Incl. Diesel)</t>
  </si>
  <si>
    <t>Silverado/Sierra 1500 Double Cab 2014-2018; Silverado LD 2019; Sierra 1500 Limited 2019; 2500/3500 Double Cab 2015-2019</t>
  </si>
  <si>
    <t>Silverado/Sierra 1500 Crew Cab 2014-2018; 2500/3500 Crew Cab 2015-2019</t>
  </si>
  <si>
    <t>4Runner SR5/TRD/TRD Pro 2014-2024 (Excl. Limited, Nightshade &amp; TRD Sport); Trail Edition 2010-2017</t>
  </si>
  <si>
    <t>Silverado/Sierra 2500/3500 Regular Cab 2015-2019 Diesel (Rocker Mount)</t>
  </si>
  <si>
    <t>Colorado/Canyon Extended Cab 2015-2022</t>
  </si>
  <si>
    <t>Titan XD Crew Cab 2016-2024; Titan 2017-2024</t>
  </si>
  <si>
    <t>Wrangler JL 2dr (Excl. 2018 JK) 2018-2025</t>
  </si>
  <si>
    <t>Silverado/Sierra 1500 Regular Cab 2019-2025; Silverado/Sierra 2500/3500 Regular Cab 2020-2025</t>
  </si>
  <si>
    <t>2019-2023 Ranger SuperCab</t>
  </si>
  <si>
    <t>2019-2025 Ranger SuperCrew</t>
  </si>
  <si>
    <t>Explorer 2020-2025</t>
  </si>
  <si>
    <t>Frontier Crew Cab 2022-2025</t>
  </si>
  <si>
    <t>Silverado/Sierra 1500 Regular Cab 2014-2018; 2500/3500 Regular Cab 2015-2019</t>
  </si>
  <si>
    <t>Wrangler JL Unlimited 4dr (Excl. 2018 JK) 2018-2025</t>
  </si>
  <si>
    <t>F-250/350/450/550 Crew Cab 1999-2016 (6.75' Bed)</t>
  </si>
  <si>
    <t>Tundra Double Cab 2007-2021 (6.5 ft Bed)</t>
  </si>
  <si>
    <t>F-250/350/450/550 Crew Cab 1999-2016 (8' Bed) (Excl Dually)</t>
  </si>
  <si>
    <t>F-250/350 Super Cab 1999-2016 (6.75' Bed)</t>
  </si>
  <si>
    <t>Ram 1500 Crew Cab 2009-2018 (5.5' Bed); Ram 1500 Classic Crew Cab 2019-2024 (5.5' Bed); Ram 1500 Quad Cab 2009-2018 (6.5' Bed); Ram 1500 Classic Quad Cab 2019-2024 (6.5' Bed)</t>
  </si>
  <si>
    <t>Ram 1500 Crew Cab 2009-2018 (6.5' Bed); 1500 Classic Crew Cab 2019-2024 (6.5' Bed); 2500/3500 Crew Cab 2010-2025 (6.5' Bed)</t>
  </si>
  <si>
    <t>2500/3500 Crew Cab 2010-2018 (8 ft Bed) (Excl. Dually)</t>
  </si>
  <si>
    <t>Ram 2500/3500 Crew Cab 2019-2025 (8 ft Bed) (Excl. Dually)</t>
  </si>
  <si>
    <t>Silverado/Sierra 1500 Crew Cab 2007-2018 (5.5' Bed) Excl 2007 Classic</t>
  </si>
  <si>
    <t>Silverado/Sierra 1500 Crew Cab 2007-2018 (6.5' Bed)(Excl. Classic); 2500/3500 Crew Cab 2007-2019 (6.5' Bed) &amp; Dually (8' Bed)</t>
  </si>
  <si>
    <t>Silverado/Sierra 2500/3500 Crew Cab 2007-2019 (8' Bed) (Incl. Diesel) (Excl. Dually) (Excl. 2007 Classic)</t>
  </si>
  <si>
    <t>Silverado/Sierra 1500 Extended/Double Cab 2007-2018 (6.5' Bed) (Excl. 2007 Classic); Silverado LD/Sierra 1500 Limited Double Cab 2019 (6.5' Bed); 2500/3500 Extended/Double Cab 2007-2019 (6.5' Bed) &amp; Dually (8' Bed) (Excl. 2007 Classic)</t>
  </si>
  <si>
    <t>Silverado/Sierra 1500 Extended Cab 2007-2013 (8' Bed) (Excl. 2007 Classic); 2500/3500 Extended/Double Cab 2007-2019 (8' Bed)(Excl. Dually) (Excl. 2007 Classic)</t>
  </si>
  <si>
    <t>F-150 SuperCab 2015-2020 (6.5 ft Bed)</t>
  </si>
  <si>
    <t>F-150 SuperCrew 2015-2020 (6.5' Bed)</t>
  </si>
  <si>
    <t>F-250/350 Crew Cab 2017-2025 (6.75' Bed)</t>
  </si>
  <si>
    <t>F-250/350 Crew Cab 2017-2022 (8' Bed)</t>
  </si>
  <si>
    <t>F-250/350 SuperCab 2017-2025 (6.75' Bed)</t>
  </si>
  <si>
    <t>F-250/350 SuperCab 2017-2022 (8' Bed)</t>
  </si>
  <si>
    <t>Silverado/Sierra 1500 Crew Cab 2019-2025 (5.5' Bed) (Excl. 2019 Silverado LD/Sierra 1500 Limited)</t>
  </si>
  <si>
    <t>Silverado/Sierra 1500 Crew Cab 2019-2025 (6.5' Bed) (Excl. 2019 Silverado LD/Sierra 1500 Limited)</t>
  </si>
  <si>
    <t>Ram 1500 Crew Cab 2019-2025 (5'7" Bed)(Excl. 1500 Classic)</t>
  </si>
  <si>
    <t>Silverado/Sierra 1500 Double Cab 2019-2025 (6.5' Bed)(Excl. 2019 Silverado LD/Sierra 1500 Limited)</t>
  </si>
  <si>
    <t>Ram 1500 Crew Cab 2019-2025 (6.5' Bed)(Excl. 1500 Classic)</t>
  </si>
  <si>
    <t>Ram 1500 Quad Cab 2019-2025 (6.5' Bed)(Excl. 1500 Classic)</t>
  </si>
  <si>
    <t>Silverado/Sierra 2500/3500 Double Cab (6.5' Bed) 2020-2023</t>
  </si>
  <si>
    <t>Silverado/Sierra 2500/3500 Double Cab (8' Bed) 2020-2025</t>
  </si>
  <si>
    <t>Silverado/Sierra 2500/3500 Crew Cab (6.5' Bed) 2020-2025</t>
  </si>
  <si>
    <t>Silverado/Sierra 2500/3500 Crew Cab (8' Bed) 2020-2025</t>
  </si>
  <si>
    <t>Stainless Steel 4in Oval Nerf Steps 53 inches</t>
  </si>
  <si>
    <t>Black 4in Oval Nerf Steps 53 inches</t>
  </si>
  <si>
    <t>Stainless Steel 4in Oval Nerf Step 75 inches</t>
  </si>
  <si>
    <t>Black 4in Oval Nerf Steps 75 inches</t>
  </si>
  <si>
    <t>Stainless Steel 4in Oval Nerf Steps 85 inches</t>
  </si>
  <si>
    <t>Black 4in Oval Nerf Steps 85 inches</t>
  </si>
  <si>
    <t>Stainless Steel 4in Oval Nerf Steps 91 inches</t>
  </si>
  <si>
    <t>Black 4in Oval Nerf Steps 91 inches</t>
  </si>
  <si>
    <t>Stainless Steel 4in Oval Nerf Steps 72 inches</t>
  </si>
  <si>
    <t>Black 4in Oval Nerf Steps 72 inches</t>
  </si>
  <si>
    <t>Stainless Steel 4in Oval Nerf Steps 61.5 inches</t>
  </si>
  <si>
    <t>Black 4in Oval Nerf Steps 61.5 inches</t>
  </si>
  <si>
    <t>Stainless Steel 6 in Oval Nerf Steps 53 inches</t>
  </si>
  <si>
    <t>Black 6in Oval Nerf Steps 53 inches</t>
  </si>
  <si>
    <t>Stainless Steel 6in Oval Nerf Steps 75 inches</t>
  </si>
  <si>
    <t>Black 6in Oval Nerf Steps 75 inches</t>
  </si>
  <si>
    <t>Stainless Steel 6in Oval Nerf Steps 85 inches</t>
  </si>
  <si>
    <t>Black 6in Oval Nerf Steps 85 inches</t>
  </si>
  <si>
    <t>Stainless Steel 6in Oval Nerf Steps 91 inches</t>
  </si>
  <si>
    <t>Black 6in Oval Nerf Steps 91 inches</t>
  </si>
  <si>
    <t>Ram Quad Cab 1500 1998-2001; 25/3500 1998-2002</t>
  </si>
  <si>
    <t>Ram Quad Cab 1500 2002-2008; 25/3500 2003-2009; 45/5500 2008-2009</t>
  </si>
  <si>
    <t>Ram Reg Cab 1500 2002-2008; 25/3500 2003-2009; 45/5500 2008-2009</t>
  </si>
  <si>
    <t>F-250/350/450/550HD Reg Cab/Super Cab/Crew Cab 1999-2016</t>
  </si>
  <si>
    <t>F-150/250LD 1997-2004 (Heritage Edition) Reg/Ext Cab</t>
  </si>
  <si>
    <t>F-150 SuperCrew 2001-2004</t>
  </si>
  <si>
    <t>Silverado/Sierra 2500HD/3500 Reg/Ext Cab 1999-2014 (Excl HD Diesel)</t>
  </si>
  <si>
    <t>Silverado/Sierra 1500 Crew Cab 2004-2013; 1500HD Crew Cab 2001-2006; 2500/3500HD Crew Cab 2001-2014</t>
  </si>
  <si>
    <t>Silverado/Sierra 1500 Reg Cab 1999-2013; 15/2500LD Ext Cab 1999-2013</t>
  </si>
  <si>
    <t>Expedition EL 2007-2014; Expedition 1997-2014</t>
  </si>
  <si>
    <t>C/K Series Ext Cab 1988-1999</t>
  </si>
  <si>
    <t>Tahoe 4dr 2000-2013 (Excl 02-04 Z71); Yukon 4 dr 2000-2004 (Excl 04 Z71)</t>
  </si>
  <si>
    <t>Explorer 2002-2005</t>
  </si>
  <si>
    <t>Tundra 4dr Ext Cab 1999-2006; Double Cab 2004-2006</t>
  </si>
  <si>
    <t>Colorado/Canyon Crew Cab 2004-2012; I-Series Crew Cab 2006-2008</t>
  </si>
  <si>
    <t>QX5 2004-2010; Armada 2004-2015; Titan Crew Cab 2004-2015; Titan Ext Cab/King Cab 2004-2015</t>
  </si>
  <si>
    <t>Ranger Ext Cab 2dr 1998-2012</t>
  </si>
  <si>
    <t>Ranger Ext Cab 4dr 1998-2012</t>
  </si>
  <si>
    <t>Tacoma Access/Double Cab 2005-2023</t>
  </si>
  <si>
    <t>Frontier Crew Cab/Ext. Cab 2005-2021; Pathfinder 2005-2012; Xterra 2005-2015</t>
  </si>
  <si>
    <t>Suburban/Tahoe/Yukon/Yukon XL 2005-2013 (excl Z71 &amp; Hybrid) ; Avalance w/cladding 2002-2006; Avalanche w/o cladding 2003-2013</t>
  </si>
  <si>
    <t>Explorer/Mountaineer 2006-2010; Sport Trac 2007-2010</t>
  </si>
  <si>
    <t>FJ Cruiser 2006-2014</t>
  </si>
  <si>
    <t>H3 2006-2010</t>
  </si>
  <si>
    <t>Grand Cherokee 2005-2011; Commander 2006-2010</t>
  </si>
  <si>
    <t>Tundra Double Cab/CrewMax 2007-2021</t>
  </si>
  <si>
    <t>Ridgeline 2006-2014</t>
  </si>
  <si>
    <t>Wrangler JK (Excl. 2018 JL) 2007-2018</t>
  </si>
  <si>
    <t>Equinox 2005-2009; Torrent 2006-2009; Vue 2006-2007</t>
  </si>
  <si>
    <t>Enclave 2008-2017; Traverse 2009-2017; Acadia 2007-2016 (Excl Denali); Outlook 2007-2009</t>
  </si>
  <si>
    <t>Highlander 2008-2013</t>
  </si>
  <si>
    <t>F-150 Super Cab &amp; Super Crew 2004-2014 (Excl Heritage); Mark LT 2006-2008</t>
  </si>
  <si>
    <t>Ram 1500 Quad/Crew Cab 2009-2018; 1500 Classic Quad/Crew Cab 2019-2024; 2500/3500 Crew Cab 2010-2025</t>
  </si>
  <si>
    <t>4Runner Limited 2010-2018; 4Runner SR5 2010-2013 (Excl Trail Edition)</t>
  </si>
  <si>
    <t>Explorer 4dr 2011-2019</t>
  </si>
  <si>
    <t>Durango 2011-2017; Grand Cherokee 2011-2017</t>
  </si>
  <si>
    <t>Silverado/Sierra 1500 Double/Crew Cab 2014-2018; Silverado/Sierra 2500/3500 Double/Crew Cab 2015-2019; Silverado LD 2019; Sierra 1500 Limited Double Cab 2019</t>
  </si>
  <si>
    <t>F-150 Regular/SuperCab/SuperCrew 2015-2025; F-250/350/450/550 Super Duty Regular Cab/SuperCab/Crew Cab 2017-2025; F-600 2020-2025</t>
  </si>
  <si>
    <t>Ram 1500 Quad/Crew Cab 2019-2025 (Excl. 1500 Classic)</t>
  </si>
  <si>
    <t>Silverado/Sierra 1500 Double/Crew Cab 2019-2025 (Excl. 2019 Silverado LD/Sierra 1500 Limited); Silverado/Sierra 2500/3500 Double Cab/Crew Cab 2020-2025</t>
  </si>
  <si>
    <t>2019-2025 Ranger SuperCrew/SuperCab</t>
  </si>
  <si>
    <t>Blazer Full Size 2dr 1992-1994; C/K Reg Cab 1988-1998; Tahoe 2dr 1995-1999; Yukon 2dr 1992-1999</t>
  </si>
  <si>
    <t>F-Series Reg Cab 1980-1997 (97 HD models only); Bronco Full Size 1980-1996</t>
  </si>
  <si>
    <t>Expedition 1997-2014 (Excl. EL model)</t>
  </si>
  <si>
    <t>Wrangler/SE/Sport/Sahara/Rubicon 1997-2006 (Excl. Unlimited)</t>
  </si>
  <si>
    <t>F-150/250LD Reg Cab 1997-2004 (2004 Heritage Only)</t>
  </si>
  <si>
    <t>F-250/350/450/550HD Super Cab 1999-2016</t>
  </si>
  <si>
    <t>F-250/350/450/550HD Super Duty Reg Cab 1999-2016</t>
  </si>
  <si>
    <t>Silverado/Sierra 1500 Reg Cab 1999-2013; 2500LD Reg Cab 1999-2004; 2500HD/3500 Reg Cab 2001-2014</t>
  </si>
  <si>
    <t>F-150/250LD SuperCab 1999-2004 (2004 Heritage Only)</t>
  </si>
  <si>
    <t>Ranger/Ranger 'Edge' SuperCab 1999-2011; B-Series Pickup Extra Cab 4Dr 1998-2010 1998-2010</t>
  </si>
  <si>
    <t>Silverado/Sierra 1500 Ext. Cab 1999-2014; 2500LD Ext. Cab 1999-2004; 2500/3500HD Ext. Cab 2001-2014</t>
  </si>
  <si>
    <t>F-150 SuperCrew 4Dr 2001-2004 (2004 Heritage Only)</t>
  </si>
  <si>
    <t>Silverado/Sierra 1500 Crew Cab 1999-2013; 1500HD Crew Cab 2001-2006; 25/3500HD Crew Cab 2001-2014</t>
  </si>
  <si>
    <t>Ranger/Ranger 'Edge' SuperCab 1998-2011; B-Series Extra Cab 2Dr 1998-2010</t>
  </si>
  <si>
    <t>Rainier 2004-2007; Trailblazer 2002-2009; Envoy 2002-2009; Ascender 5 Passenger 2003-2008; Bravada 4Dr 2002-2004</t>
  </si>
  <si>
    <t>Ram 1500 Reg Cab 2002-2008; 25/3500 Reg Cab 2003-2009; 45/5500 Reg Cab 2008-2009 Excl Rumble Bee</t>
  </si>
  <si>
    <t>F-150 Reg Cab 2004-2008 (Excl. Heritage)</t>
  </si>
  <si>
    <t>F-150 SuperCab 2004-2008 (Excl. Heritage)</t>
  </si>
  <si>
    <t>F-150 SuperCrew 2004-2008 (Excl Heritage); Mark LT 2006-2008</t>
  </si>
  <si>
    <t>F-150 SuperCrew 2004-2008 (Excl. Heritage); Mark LT 2006-2008</t>
  </si>
  <si>
    <t>Tundra Double Cab 2004-2006</t>
  </si>
  <si>
    <t>Tundra Ext Cab 1999-2006</t>
  </si>
  <si>
    <t>Frontier Crew Cab 2005-2021</t>
  </si>
  <si>
    <t>Tacoma Double Cab 2024</t>
  </si>
  <si>
    <t>Dakota Quad Cab 2005-2011</t>
  </si>
  <si>
    <t>Dakota Club Cab 2005-2011</t>
  </si>
  <si>
    <t>Tacoma Xtra Cab 2024-2025</t>
  </si>
  <si>
    <t>Ram 1500 Mega Cab 2006-2009</t>
  </si>
  <si>
    <t>1500 Suburban (Excl. 2500)/1500 Yukon XL (Excl. 2500) 2000-2013; Avalanche (Excl. 2500)(w/o Cladding) 2003-2013</t>
  </si>
  <si>
    <t>1500 Suburban (Excl. 2500)/Yukon XL (Excl. 2500) 2000-2013; Avalanche (Excl. 2500)(w/o Cladding) 2003-2013</t>
  </si>
  <si>
    <t>Tahoe 4Dr 2000-2014 (Excl 2002-2009 Z71); Yukon 4Dr 2000-2014 (Excl 2002-2010 Z71)</t>
  </si>
  <si>
    <t>Explorer 2006-2010</t>
  </si>
  <si>
    <t>Colorado/Canyon Ext Cab 2004-2012; I-Series Ext Cab 2006-2008</t>
  </si>
  <si>
    <t>Tundra Regular Cab 2007-2017</t>
  </si>
  <si>
    <t>Wrangler JK Unlimited 4dr (Excl. 2018 JL) 2007-2018</t>
  </si>
  <si>
    <t>Traverse 2009-2017; Acadia 2007-2017; Enclave 2008-2017; Outlook 2007-2010</t>
  </si>
  <si>
    <t>Nitro 2007-2012</t>
  </si>
  <si>
    <t>F-150 Reg Cab 2009-2014</t>
  </si>
  <si>
    <t>Ram 1500 Crew Cab 2009-2018; 1500 Classic Crew Cab 2019-2023; 2500/3500 Crew Cab 2010-2024 (Excl Cab Chassis w/Def Tank)</t>
  </si>
  <si>
    <t>Tacoma Regular Cab 2005-2023</t>
  </si>
  <si>
    <t>4Runner Trail Edition 2010-2017 (Excl. Limited); 4Runner SR5 &amp; TRD 2014-2024 (Excl. Limited, Nightshade &amp; TRD Sport)</t>
  </si>
  <si>
    <t>Silverado/Sierra 2500/3500 Reg Cab 2015-2019 (Body Mount)</t>
  </si>
  <si>
    <t>Silverado/Sierra 1500 Regular Cab 2019-2025</t>
  </si>
  <si>
    <t>F-150 SuperCab 2015-2025 (6.5 ft Bed)(Excl. 2022+ Lightning EV)</t>
  </si>
  <si>
    <t>Ranger/Mazda Reg 1982-1997</t>
  </si>
  <si>
    <t>PU Reg Cab 1989-1994</t>
  </si>
  <si>
    <t>F-Series Pickup SuperCab 2Dr 1980-1998 (1997-1998 HD models only)</t>
  </si>
  <si>
    <t>Ram 1500 Reg Cab 1994-2001; 25/3500 Reg Cab 1994-2002</t>
  </si>
  <si>
    <t>S-Series/Sonoma Ext Cab 2 &amp; 3dr 1982-2004; Hombre PU Ext Cab 1998-2003</t>
  </si>
  <si>
    <t>Ram 1500 Club Cab 1994-2001; 25/3500 Club Cab 1994-2002</t>
  </si>
  <si>
    <t>Jimmy/Blazer Downsize 4dr 1995-2004; Bravada 4dr 1996-2001</t>
  </si>
  <si>
    <t>Tacoma Reg Cab 1995-2004 (4WD or PreRunner only)</t>
  </si>
  <si>
    <t>C/K Series Crew Cab 1992-2000</t>
  </si>
  <si>
    <t>Wrangler/SE/Sport/Sahara 1997-2006</t>
  </si>
  <si>
    <t>Ram 1500 Quad Cab 1998-2001; 25/3500 Quad Cab 1998-2002</t>
  </si>
  <si>
    <t>1999-2016 F-250/350/450/550HD Super Duty Reg Cab</t>
  </si>
  <si>
    <t>4Runner 4dr 1996-2002</t>
  </si>
  <si>
    <t>Tacoma Double Cab 2001-2004</t>
  </si>
  <si>
    <t>Ranger/Ranger 'Edge' Reg Cab/B-Series Pickup Reg Cab 1998-2011</t>
  </si>
  <si>
    <t>Ranger/Ranger 'Edge' Super Cab/B-Series Pickup Extra Cab 2dr 1998-2010</t>
  </si>
  <si>
    <t>Brushed Aluminum Running Boards 54 inches</t>
  </si>
  <si>
    <t>Black Aluminum Running Boards 54 inches</t>
  </si>
  <si>
    <t>Brushed Aluminum Step Board 69 in</t>
  </si>
  <si>
    <t>Black Aluminum Step Board 69 in</t>
  </si>
  <si>
    <t>Brushed Aluminum Step Board 72 in</t>
  </si>
  <si>
    <t>Black Aluminum Step Board 72 in</t>
  </si>
  <si>
    <t>Brushed Aluminum Step Board 79 in</t>
  </si>
  <si>
    <t>Black Aluminum Step Board 79 in</t>
  </si>
  <si>
    <t>Brushed Aluminum Step Board 93 in</t>
  </si>
  <si>
    <t>Black Aluminum Step Board 93 in</t>
  </si>
  <si>
    <t>Brushed Aluminum Running Boards 85 inches</t>
  </si>
  <si>
    <t>Black Aluminum Step Board 85 in</t>
  </si>
  <si>
    <t>Polished Aluminum Running Boards 54 inches</t>
  </si>
  <si>
    <t>Polished Aluminum Step Board 69 in</t>
  </si>
  <si>
    <t>Polished Aluminum Step Board 72 in</t>
  </si>
  <si>
    <t>Polished Aluminum Step Board 79 in</t>
  </si>
  <si>
    <t>Polished Aluminum Step Board 93 in</t>
  </si>
  <si>
    <t>Brite Aluminum Running Boards 85 inches</t>
  </si>
  <si>
    <t>Textured Black Running Boards 54 inches</t>
  </si>
  <si>
    <t>Textured Black Running Boards 68 inches</t>
  </si>
  <si>
    <t>Textured Black Running Boards 75 inches</t>
  </si>
  <si>
    <t>Textured Black Running Boards 79 inches</t>
  </si>
  <si>
    <t>Textured Black Running Boards 90 inches</t>
  </si>
  <si>
    <t>Textured Black Running Boards 86 inches</t>
  </si>
  <si>
    <t>Textured Black Running Boards 83 inches</t>
  </si>
  <si>
    <t>ProMaster 1500/2500/3500 2014-2025 (Single 54" Rear)</t>
  </si>
  <si>
    <t>Transit Van 150/250/350 2015-2025 (46" Driver side &amp; 97" Passenger side)</t>
  </si>
  <si>
    <t>Transit Van 150/250/350/ 2015-2025 (For Single 54" Passenger Sliding Door)</t>
  </si>
  <si>
    <t>Express/Savana 2003-2021 135" WB (46" Drivers Side and 97" Passenger Side)</t>
  </si>
  <si>
    <t>Express/Savana 2003-2021 135" WB (Single 54" Passenger Sliding Door)</t>
  </si>
  <si>
    <t>Express/Savana 2003-2021 (Single 54" Rear)</t>
  </si>
  <si>
    <t>ProMaster 1500/2500/3500 2014-2025 136" WB (46" Drivers Side and 97" Passenger Side)</t>
  </si>
  <si>
    <t>ProMaster 1500/2500/3500 2014-2025 159" WB (46" Drivers Side and 86" Passenger Side)</t>
  </si>
  <si>
    <t>ProMaster 1500/2500/3500 2014-2025 136" WB (Single 54" Passenger Sliding Door)</t>
  </si>
  <si>
    <t>46" Driver &amp; 97" Passenger Side</t>
  </si>
  <si>
    <t>Single 54" Passenger Sliding Door or Rear</t>
  </si>
  <si>
    <t>46" Drivers Side and 86" Passenger Side</t>
  </si>
  <si>
    <t>Colorado/Canyon Ext Cab 2015-2024</t>
  </si>
  <si>
    <t>Colorado/Canyon Crew Cab 2015-2024</t>
  </si>
  <si>
    <t>Silverado/Sierra 1500 Double Cab 2019-2024 (Excl. 2019 Silverado LD/Sierra 1500 Limited); Silverado/Sierra 2500/3500 Double Cab 2020-2024</t>
  </si>
  <si>
    <t>2015-2021 F-150 SuperCrew</t>
  </si>
  <si>
    <t>Silverado/Sierra 1500 Crew Cab 2019-2024; Silverado/Sierra 2500/3500 Crew Cab 2020-2024</t>
  </si>
  <si>
    <t>2015-2021 F-150 Regular Cab</t>
  </si>
  <si>
    <t>2015-2021 F-150 SuperCab</t>
  </si>
  <si>
    <t>Sure Grip Board Light Kit (Set of 4)</t>
  </si>
  <si>
    <t>Trim Seal Gasket (Gap Strip) for 93 in Molded Step Board</t>
  </si>
  <si>
    <t>Step Board Black Plastic Light Cavity Cover 2/pkg</t>
  </si>
  <si>
    <t>Step Board Wiring Harness Kit 1/pkg</t>
  </si>
  <si>
    <t>Step Board Light Lens/housing 4/pkg</t>
  </si>
  <si>
    <t>Step Board Light Bulb 4/pkg</t>
  </si>
  <si>
    <t>Trim Seal Gasket (Gap Strip) for 93 in Sure-Grip Step Board</t>
  </si>
  <si>
    <t>Molded Step Board Unlighted 72 in</t>
  </si>
  <si>
    <t>Molded Step Board lighted 72 in</t>
  </si>
  <si>
    <t>Molded Step Board Unlighted 79 in</t>
  </si>
  <si>
    <t>Molded Step Board lighted 79 in</t>
  </si>
  <si>
    <t>Molded Step Board Unlighted 93 in</t>
  </si>
  <si>
    <t>Molded Step Board lighted 93 in</t>
  </si>
  <si>
    <t>C/K Series Ext Cab 1988-1998</t>
  </si>
  <si>
    <t>Tahoe 2dr &amp; 4dr 1995-1999; Yukon 2 &amp; 4dr 1996-1999</t>
  </si>
  <si>
    <t>Silverado/Sierra 'Classic' 1500/2500LD 1999-2007; 2500HD/3500 Ext Cab 2001-2007</t>
  </si>
  <si>
    <t>Suburban/Tahoe/Yukon/YukonXL 2000-2004 (Excl 02-04 Z71)</t>
  </si>
  <si>
    <t>Suburban 1992-1999; C/K Series Crew Cab 1992-2000</t>
  </si>
  <si>
    <t>Tacoma Access Cab 1999-2004</t>
  </si>
  <si>
    <t>Blazer S-Series 1997-2004 (4dr only); S-10 Pickup Ext. Cab 1997-2004; Jimmy S-Series 1997-2004 (4dr only); Sonoma Ext. Cab 1997-2004</t>
  </si>
  <si>
    <t>Explorer 1995-2001</t>
  </si>
  <si>
    <t>Ranger Ext Cab 4DR 1998-2002 (w/Rocker pinch weld)</t>
  </si>
  <si>
    <t>Ram 1500 Quad Cab 1994-2001; 25/3500 3dr &amp; Quad Cab 1994-2002</t>
  </si>
  <si>
    <t>F-250/350 Super Cab 1999-2016</t>
  </si>
  <si>
    <t>F-250/350 Crew Cab 1999-2016; Excursion 1999-2005</t>
  </si>
  <si>
    <t>F-150/250LD SuperCab, 3 &amp; 4dr 1997-2004; F-150 Super Crew 2001-2003</t>
  </si>
  <si>
    <t>Silverado/Sierra 'Classic' 1500/2500HD/3500 Crew Cab 2001-2007</t>
  </si>
  <si>
    <t>Sequoia 2001-2007/Tundra D-Cab 2004-2006</t>
  </si>
  <si>
    <t>Explorer/Mountaineer 4dr (Excl Sport) 2002-2005</t>
  </si>
  <si>
    <t>Trailblazer 2002-2009; Envoy 2002-2010; Bravada 2002-2004; Ascender 5 Passenger 2003-2008</t>
  </si>
  <si>
    <t>Highlander 2001-2007</t>
  </si>
  <si>
    <t>CR-V 2002-2006</t>
  </si>
  <si>
    <t>Pilot 2003-2008</t>
  </si>
  <si>
    <t>Silverado/Sierra Classic 1500/2500LD Reg Cab 1999-2007; 2500HD/3500 Reg Cab 2001-2007</t>
  </si>
  <si>
    <t>4Runner 2006-2009; Base model 2003-2009</t>
  </si>
  <si>
    <t>F-150 SuperCab 2004-2014 (Excl Heritage)</t>
  </si>
  <si>
    <t>F-150 Reg Cab (excl. Heritage) 2004-2012; F-150 SuperCrew 2004-2008; Mark LT 2006-2008</t>
  </si>
  <si>
    <t>Durango 2004-2010; Aspen 2006-2009</t>
  </si>
  <si>
    <t>QX 2004-2009; Armada 2004-2015; Titan Ext./King/Crew Cab 2004-2015</t>
  </si>
  <si>
    <t>Colorado/Canyon 2004-2012; Isuzu I-Series Crew 2006-2008 Crew Cab</t>
  </si>
  <si>
    <t>Frontier Crew Cab 2005-2021; Pathfinder 2005-2012</t>
  </si>
  <si>
    <t>Suburban/Tahoe/Yukon/Yukon XL 2005-2013; Avalanche (w/o Cladding) 2003-2012; Avalanche (w/Cladding) 2002-2006</t>
  </si>
  <si>
    <t>Explorer 2006-2010; Mountaineer 2006-2010</t>
  </si>
  <si>
    <t>Silverado/Sierra 1500 Reg Cab 2007-2013; 25/3500 Reg Cab 2007-2014</t>
  </si>
  <si>
    <t>Silverado/Sierra 1500 Ext Cab 2007-2013; Silverado/Sierra 2500/3500HD Ext Cab 2008-2014</t>
  </si>
  <si>
    <t>Silverado/Sierra 1500 Crew Cab 2007-2013; Silverado/Sierra 2500/3500HD Crew Cab 2008-2014</t>
  </si>
  <si>
    <t>Grand Cherokee 2005-2010; Commander 2006-2010</t>
  </si>
  <si>
    <t>Explorer Sport Trac 2007-2010</t>
  </si>
  <si>
    <t>Expedition 1997-2014; Expedition EL 2007-2014 (Excl. Funkmaster Flex Edition)</t>
  </si>
  <si>
    <t>Edge 2007-2014/MKX 2007-2015</t>
  </si>
  <si>
    <t>Enclave 2008-2017; Traverse 2009-2017; Acadia 2007-2016 (Excl Denali); Outlook 2007-2010</t>
  </si>
  <si>
    <t>Santa Fe 2007-2012</t>
  </si>
  <si>
    <t>Sequoia 2008-2022</t>
  </si>
  <si>
    <t>Ram 1500 Regular Cab 2009-2018; 1500 Classic Regular Cab 2019-2023; 2500/3500 Regular Cab 2010-2024</t>
  </si>
  <si>
    <t>Ram 1500 Quad/Crew Cab 2009-2018; Ram 1500 Classic Quad/Crew Cab 2019-2023; 2500/3500 Crew Cab 2010-2024</t>
  </si>
  <si>
    <t>4Runner SR5 2010-2013; 4Runner Limited &amp; TRD Sport 2010-2024 (Excl. Trail Edition)</t>
  </si>
  <si>
    <t>Explorer 4Dr 2011-2019</t>
  </si>
  <si>
    <t>Pilot 2009-2012; MDX 2009-2013</t>
  </si>
  <si>
    <t>Silverado/Sierra 1500 Regular Cab 2014-2018 (Rocker Mount); 2500/3500 Regular Cab 2015-2019 (Excl Diesel)</t>
  </si>
  <si>
    <t>Silverado/Sierra 1500 Double/Crew Cab 2014-2018; Silverado LD/Sierra 1500 Limited 2019; 2500/3500 Double/Crew Cab 2015-2019</t>
  </si>
  <si>
    <t>4Runner Trail 2010-2017; 4Runner SR5/TRD/TRD Pro 2014-2024 (Excl. Limited, Nightshade &amp; TRD Sport)</t>
  </si>
  <si>
    <t>F-150 Regular/SuperCab 2015-2025; F-250/350/450/550 Super Duty Regular Cab/Super Cab 2017-2025</t>
  </si>
  <si>
    <t>Colorado/Canyon Crew Cab 2015-2025; Ext Cab 2015-2023</t>
  </si>
  <si>
    <t>Ram 1500 Quad/Crew Cab 2019-2025 (Excl. 2019-2023 1500 Classic)</t>
  </si>
  <si>
    <t>Traverse 2018-2023</t>
  </si>
  <si>
    <t>Transit Van 150/250/350 2015-2025 (For 46" Drivers Side and 97" Passenger Side)</t>
  </si>
  <si>
    <t>Transit Van 150/250/350 2015-2025 (for Single 54 inch Passenger Sliding Door)</t>
  </si>
  <si>
    <t>Transit Van 150/250/350 2015-2025 (for Single 54 inch Rear Door)</t>
  </si>
  <si>
    <t>Express/Savana 2003-2025 135" WB (For 46" Drivers Side and 97" Passenger Side)</t>
  </si>
  <si>
    <t>Express/Savana 2003-2025 155" WB (For 46" Drivers Side and 97" Passenger Side)</t>
  </si>
  <si>
    <t>Express/Savana 2003-2025 135" WB (For Single 54" Passenger Sliding Door)</t>
  </si>
  <si>
    <t>Express/Savana 2003-2025 (For Single 54" Rear Door)</t>
  </si>
  <si>
    <t>ProMaster 1500/2500/3500 2014-2025 136" WB (For 46" Driver Side and 97" Passenger Side)</t>
  </si>
  <si>
    <t>ProMaster 2500/3500 2014-2025 159" WB (For 46" Driver Side and 86" Passenger Side)</t>
  </si>
  <si>
    <t>ProMaster 1500/2500/3500 2014-2025 136" WB (For Single 54" Passenger Sliding Door)</t>
  </si>
  <si>
    <t>ProMaster 1500/2500/3500 2014-2025 (For Single 54" Rear Door)</t>
  </si>
  <si>
    <t>Frontier 2022-2025 Crew Cab and King Cab</t>
  </si>
  <si>
    <t>Sprinter 2007-2025 (for 46" Drivers Side and 97" Passenger Side)</t>
  </si>
  <si>
    <t>Sprinter 2007-2025 (for Single 54" Passenger Sliding Door)</t>
  </si>
  <si>
    <t>Sprinter 2007-2025 (for Single 54" Rear Door)</t>
  </si>
  <si>
    <t>ProMaster 2500/3500 2014-2025 159" WB (for Single 54" Passenger Sliding Door)</t>
  </si>
  <si>
    <t>Express/Savana 2003-2025 155" WB (For Single 54" Passenger Sliding Door)</t>
  </si>
  <si>
    <t>Tacoma Xtra/Double Cab 2024-2025; 4Runner SR5/TRD/TRD Pro/Limited 2025</t>
  </si>
  <si>
    <t>Ram 1500 Quad Cab 2009-2018; Ram 1500 Classic Quad Cab 2019-2023</t>
  </si>
  <si>
    <t>Ram 1500 Crew Cab 2009-2018; Ram 1500 Classic Crew Cab 2019-2023; 2500/3500 Crew Cab 2010-2024</t>
  </si>
  <si>
    <t>Polished Aluminum Running Board 68.4 inches</t>
  </si>
  <si>
    <t>Black Aluminum Running Board 68.4 inches</t>
  </si>
  <si>
    <t>Polished Aluminum Running Board 74.25 inches</t>
  </si>
  <si>
    <t>Black Aluminum Running Board 74.25 inches</t>
  </si>
  <si>
    <t>Polished Aluminum Running Board 79 inches</t>
  </si>
  <si>
    <t>Black Aluminum Running Board 79 inches</t>
  </si>
  <si>
    <t>Polished Aluminum Running Board 89.5 inches</t>
  </si>
  <si>
    <t>Black Aluminum Running Board 89.5 inches</t>
  </si>
  <si>
    <t>Polished Aluminum Running Board 85.5 inches</t>
  </si>
  <si>
    <t>Black Aluminum Running Board 85.5 inches</t>
  </si>
  <si>
    <t>Polished Aluminum Running Board 83 inches</t>
  </si>
  <si>
    <t>Black Aluminum Running Board 83 inches</t>
  </si>
  <si>
    <t>Polished Aluminum Running Boards 85.5in</t>
  </si>
  <si>
    <t>Polished Aluminum Running Boards 83 inches</t>
  </si>
  <si>
    <t>Black Aluminum Running Boards 83in</t>
  </si>
  <si>
    <t>Includes 4 end caps with integrated LED lights and wiring harness.</t>
  </si>
  <si>
    <t>Silverado/Sierra 1500 Ext/Double Cab 2007-2018 (Excl. 2007 Classic); Silverado/Sierra 1500 LD/Limited Double Cab 2019; 2500/3500 Ext/Double Cab 2007-2019 (Excl. 2007 Classic)</t>
  </si>
  <si>
    <t>Silverado/Sierra 1500 Crew Cab 2007-2018; 2500/3500 Crew Cab 2007-2019 (Excl. 2007 Classic)</t>
  </si>
  <si>
    <t>Frontier Extended/King Cab 2005-2021</t>
  </si>
  <si>
    <t>4Runner SR5 &amp; TRD 2014-2024; Trail Edition 2010-2017 (Excl. Limited)</t>
  </si>
  <si>
    <t>4Runner SR5 &amp; TRD 2014-2024; Trail Edition 2010-2017 (Excl. Limited)(W/ Cladding)</t>
  </si>
  <si>
    <t>4Runner Limited 2010-2024; 4Runner Limited &amp; SR5 2010-2013 (Excl Trail Edition)</t>
  </si>
  <si>
    <t>Silverado/Sierra 1500 Crew Cab 2019-2025; Silverado/Sierra 2500/3500 Crew Cab 2020-2025</t>
  </si>
  <si>
    <t>Tacoma Double Cab 2016-2023 (6 ft Bed)</t>
  </si>
  <si>
    <t>Ram 1500 Quad Cab 2009-2018 (6.5' Bed); Ram 1500 Classic Quad Cab 2019-2024 (6.5' Bed); 1500 Crew Cab (5.5 Bed) 2009-2018; 1500 Classic Crew Cab (5.5 Bed) 2019-2024</t>
  </si>
  <si>
    <t>Ram 2500/3500 Crew Cab 2010-2018 (6.5' Bed)</t>
  </si>
  <si>
    <t>Ram 2500/3500 Crew Cab 2010-2018 (8' Bed) (Excl. Dually)</t>
  </si>
  <si>
    <t>Silverado/Sierra 1500 Crew Cab 2007-2018 (5.5' Bed) Excl. 2007 Classic</t>
  </si>
  <si>
    <t>Silverado/Sierra 2500/3500 Crew Cab 2007-2019 (8' Bed)(Excl. Dually) (Excl. 2007 Classic)</t>
  </si>
  <si>
    <t>Silverado/Sierra 1500 Crew Cab 2019-2025 (5.5' Bed); Silverado/Sierra 1500 Double 2019-2025 Cab (6.5' Bed)(Excl. 2019 Silverado LD/Sierra 1500 Limited)</t>
  </si>
  <si>
    <t>Silverado/Sierra 2500/3500 Double Cab (8' Bed) 2020-2023</t>
  </si>
  <si>
    <t>Silverado/Sierra 2500/3500 Crew Cab (6.5' Bed) 2020-2023</t>
  </si>
  <si>
    <t>Silverado/Sierra 2500/3500 Crew Cab (8' Bed) 2020-2023</t>
  </si>
  <si>
    <t>Ram 2500/3500 Crew Cab 2019-2025 (6.5 ft Bed)</t>
  </si>
  <si>
    <t>Ram 1500 2009-2018; 1500 Classic 2019-2023; 2500/3500 Crew Cab 2010-2024</t>
  </si>
  <si>
    <t>F-150 SuperCrew 2015-2025; F-250/350 Crew Cab 2017-2025; Lightning 2022-2025</t>
  </si>
  <si>
    <t>Light Bar Universal (14.75in mounting depth)</t>
  </si>
  <si>
    <t>Light Bar Universal (11.5in mounting depth)</t>
  </si>
  <si>
    <t>Light Bar Universal (10.75in mounting depth)</t>
  </si>
  <si>
    <t>CRV 1997-2001</t>
  </si>
  <si>
    <t>Explorer 1996-2001; Mountaineer 1997-2001; Ranger/B-Series Pickup 1998-2000</t>
  </si>
  <si>
    <t>S-Series/Blazer Downsize 1998-2004; Hombre P/U 1998-2003; Bravada 1998-2001; Jimmy 1998-2002</t>
  </si>
  <si>
    <t>Durango 1998-2003;Dakota 1997-2004</t>
  </si>
  <si>
    <t>Tacoma/PreRunner 1998-2004</t>
  </si>
  <si>
    <t>Pathfinder/QX4 1999.5-2004</t>
  </si>
  <si>
    <t>Grand Cherokee/Laredo 1999-2004</t>
  </si>
  <si>
    <t>Explorer Sport 2001-2004/Sport Trac 2001-2005</t>
  </si>
  <si>
    <t>Escape/Tribute/Mariner 2001-2007</t>
  </si>
  <si>
    <t>Ranger/Edge 2001-2008 (Excl STX); B-Series Pickup 2001-2012</t>
  </si>
  <si>
    <t>Explorer 4dr 2002-2005</t>
  </si>
  <si>
    <t>CRV 2002-2006</t>
  </si>
  <si>
    <t>Pilot 2003-2008; MDX 2003-2006</t>
  </si>
  <si>
    <t>Tracker 1999-2004</t>
  </si>
  <si>
    <t>Grand Vitara 1999-2005; XL7 1999-2003</t>
  </si>
  <si>
    <t>GX470 2/4WD 2003-2004; 4Runner 2003-2009</t>
  </si>
  <si>
    <t>Rainier 2004-2007; Trailblazer 2002-2009; Envoy 2002-2008; Ascender 2003-2008; Bravada 2002-2004</t>
  </si>
  <si>
    <t>Endeavor 2003-2008</t>
  </si>
  <si>
    <t>Vue 2002-2007; Equinox 2005-2009; Torrent 2006-2009</t>
  </si>
  <si>
    <t>CR-V 2007-2011</t>
  </si>
  <si>
    <t>Silverado 1500 2019-2021, 2023-2025 &amp; 1500 LTD 2022 (Excl. 2019 LD)</t>
  </si>
  <si>
    <t>Ram 1500 2019-2024 (Excl. 2019-2023 1500 Classic)(Excl. Rebel &amp; Warlock)</t>
  </si>
  <si>
    <t>2019-2023 Ranger</t>
  </si>
  <si>
    <t>Ram 2500/3500 2019-2024</t>
  </si>
  <si>
    <t>Colorado/Canyon 2015-2022</t>
  </si>
  <si>
    <t>Silverado/Sierra 'Classic' 1500LD 1999-2007; Tahoe/Suburban/Yukon/XL 2000-2006; Avalanche 2002-2006 1/2 ton 2000-2006; Avalanche 2002-2006 1/2 ton</t>
  </si>
  <si>
    <t>Silverado/Sierra 'Classic' 1500HD/2500HD/3500HD 2001-2007; 2500LD 1999-2007; Tahoe/Suburban/Yukon/XL 2000-2006; Avalanche 2002-2006 1999-2007; Tahoe/Suburban/Yukon/XL 2000-2006; Avalanche 2002-2006</t>
  </si>
  <si>
    <t>Tundra 2007-2021; Sequoia 2008-2022</t>
  </si>
  <si>
    <t>Tundra 2007-2018; Sequoia 2007-2018</t>
  </si>
  <si>
    <t>Silverado/Sierra 1500 2007-2013</t>
  </si>
  <si>
    <t>F-250/350/450/550 Super Duty 2011-2016</t>
  </si>
  <si>
    <t>F-150 2009-2014</t>
  </si>
  <si>
    <t>Ram 2500/3500 2010-2018</t>
  </si>
  <si>
    <t>Tacoma 2005-2015</t>
  </si>
  <si>
    <t>4Runner 2010-2024 (Excl. 14+ Limited)(Excl. Nightshade)(Excl. 22+ TRD Sport)</t>
  </si>
  <si>
    <t>Silverado/Sierra 2500/3500 2015-2019</t>
  </si>
  <si>
    <t>F-250/350 2017-2022</t>
  </si>
  <si>
    <t>Ram 1500 2009-2018; Ram 1500 Classic 2019-2024 (Excl. Rebel &amp; Warlock)</t>
  </si>
  <si>
    <t>F-150 2015-2020</t>
  </si>
  <si>
    <t>Tacoma 2016-2023</t>
  </si>
  <si>
    <t>Silverado/Sierra 1500 2016-2018; Silverado LD 2019; Sierra 1500 Limited 2019</t>
  </si>
  <si>
    <t>Silverado 2500/3500 2020-2025</t>
  </si>
  <si>
    <t>Frontier 2022-2024</t>
  </si>
  <si>
    <t>Bracket for 20 inch LED Light Bar</t>
  </si>
  <si>
    <t>License Plate Relocator</t>
  </si>
  <si>
    <t>F-150 2011-2012 W/EcoBoost Only</t>
  </si>
  <si>
    <t>HD LED Bar Clamp for 2in diameter tube</t>
  </si>
  <si>
    <t>Tundra 1999-2006; Sequoia 2001-2007</t>
  </si>
  <si>
    <t>F-150 2004-2008; Mark LT 2006-2008</t>
  </si>
  <si>
    <t>Pathfinder 2005-2007; Frontier 2005-2017; Xterra 2005-2015</t>
  </si>
  <si>
    <t>F-150 2015-2022 (Excl. Raptor)(Excl. 2022 Lightning EV)</t>
  </si>
  <si>
    <t>Silverado 1500 2016-2018; Silverado LD 2019</t>
  </si>
  <si>
    <t>Bronco 2021-2025 (Excl. Bronco Sport)</t>
  </si>
  <si>
    <t>Silverado/Sierra 1500 2014-2018; Silverado LD/Sierra 1500 Limited 2019; Silverado/Sierra 2500/3500 2015-2019; Tahoe/Suburban 2015-2020 (Excl. Suburban 2500HD/3500HD)</t>
  </si>
  <si>
    <t>Ram 1500 2009-2018; 1500 Classic 2019-2024; 2500/3500 2010-2018</t>
  </si>
  <si>
    <t>Accessory for 57-3970 for 1500 2019-2024 (Excl. 1500 Classic)</t>
  </si>
  <si>
    <t>F-150 2015-2020; F-150 Raptor 2017-2020 (Accessory for Pro-Series, Pro-Mod &amp; Outlaw Front Bumpers)</t>
  </si>
  <si>
    <t>2019-2022 Ranger (Accessory for Pro-Mod &amp; Outlaw Front Bumper)</t>
  </si>
  <si>
    <t>Mercedes-Benz Sprinter 2019-2025</t>
  </si>
  <si>
    <t>Dakota 1997-2004; Durango 1998-2003</t>
  </si>
  <si>
    <t>Silverado 1500LD 1999-2002; Suburban/Tahoe 2000-2006</t>
  </si>
  <si>
    <t>F-250/350/450/550HD Super Duty 1999-2004 (Excl. Harley Davidson Edition) ; Excursion 2000-2004</t>
  </si>
  <si>
    <t>F-150/250LD 4WD 1997-2004 (Heritage Edition); F-150 Super Crew 4WD 2001-2003; Expedition 4WD 1997-2002</t>
  </si>
  <si>
    <t>Sierra 1500LD 1999-2002; Yukon/Yukon XL 2000-2006 (Excl Denali)</t>
  </si>
  <si>
    <t>Explorer Sport 2001-2004; Sport Trac 2001-2006</t>
  </si>
  <si>
    <t>Ranger/Ranger 'Edge' 2001-2005; B-Series 2001-2010</t>
  </si>
  <si>
    <t>Tacoma 1998-2004</t>
  </si>
  <si>
    <t>Ram 1500 2002-2005; 25/3500 2003-2005</t>
  </si>
  <si>
    <t>Sierra 'Classic' 1500LD 2003-2007</t>
  </si>
  <si>
    <t>Silverado 2500HD/3500 'Classic' 2003-2007</t>
  </si>
  <si>
    <t>Tundra (Excl D-Cab) 2003-2006</t>
  </si>
  <si>
    <t>Titan King/Crew Cab 2004-2015; Armada 2004-2015</t>
  </si>
  <si>
    <t>Colorado 2004-2011; Canyon 2004-2012; I-Series 2006-2008</t>
  </si>
  <si>
    <t>F-250/350/450/550HD Super Duty 2005-2007; Excursion 2005</t>
  </si>
  <si>
    <t>Ram 1500 2006-2008; 25/3500/Mega Cab (Excl Sport/LaRamie) 2006-2009</t>
  </si>
  <si>
    <t>Frontier 2012-2021</t>
  </si>
  <si>
    <t>Escalade EXT/ESV 2007-2013 (Excl Platinum); Yukon/Yukon XL 1500 2007-2014 (Excl Hybrid)</t>
  </si>
  <si>
    <t>Silverado 1500LD 2007-2013</t>
  </si>
  <si>
    <t>Explorer 2011-2015</t>
  </si>
  <si>
    <t>Tahoe/Suburban 2015-2020 (Excl. Suburban 2500HD/3500HD)</t>
  </si>
  <si>
    <t>4Runner 2014-2024 (Excl. Limited, Nightshade &amp; TRD Sport)</t>
  </si>
  <si>
    <t>F-150 2015-2020 (Excl. Raptor)</t>
  </si>
  <si>
    <t>Colorado 2/4 WD 2015-2022 (Excl. Bison &amp; ZR2)</t>
  </si>
  <si>
    <t>Silverado 1500 2019-2025 (Excl. 2019 LD)(Excl. W/ Sensors)</t>
  </si>
  <si>
    <t>Ram 1500 2019-2024 (Excl. 2019-2023 1500 Classic)(Excl. Rebel, Warlock &amp; TRX)</t>
  </si>
  <si>
    <t>Colorado 2015-2022; Frontier 2012-2021; 4Runner 2014-2024 (Excl. Limited, Nightshade &amp; TRD Sport); Tacoma 2005-2015</t>
  </si>
  <si>
    <t>Silverado 1500 2016-2018; Silverado LD 2019; Ram 1500 2009-2018; Ram 1500 Classic 2019-2024</t>
  </si>
  <si>
    <t>F-150 2015-2020; Tundra 2014-2021</t>
  </si>
  <si>
    <t>Small Trucks / SUV's with sensors</t>
  </si>
  <si>
    <t>Silverado 1500 2019-2025 &amp; 1500 LTD 2022 (Excl. 2019 LD); Sierra 1500 2019-2025 &amp; 1500 Limited 2022 (Excl. 2019 Limited)</t>
  </si>
  <si>
    <t>Sportsman X Grille Guard accessory for 1500/2500/3500 trucks. Includes 26 inch Double Row LED with harness.</t>
  </si>
  <si>
    <t>Tundra 2014-2021</t>
  </si>
  <si>
    <t>Grand Cherokee 2014-2021</t>
  </si>
  <si>
    <t>Colorado 2015-2022 (Excl. Bison &amp; ZR2)</t>
  </si>
  <si>
    <t>Silverado 1500 2019-2021, 2023-2025 (Excl. ZR2 &amp; 2019 LD)</t>
  </si>
  <si>
    <t>Ram 1500 2019-2024 (Excl. 1500 Classic, Rebel, Warlock &amp; TRX)</t>
  </si>
  <si>
    <t>Ram 2500/3500 2019-2024 (Excl. Power Wagon)</t>
  </si>
  <si>
    <t>Silverado 1500 2019-2021, 2022-2025 &amp; 1500 LTD 2022 (Excl. 2019 LD)</t>
  </si>
  <si>
    <t>Wrangler JK 2dr 2007-2018</t>
  </si>
  <si>
    <t>Wrangler JK 2012-2018</t>
  </si>
  <si>
    <t>Wrangler JL 2dr/Wrangler JL Unlimited 4dr 2018-2025 (Excl. Diesel, Manual Trans, Turbo)(Excl. 4xe)</t>
  </si>
  <si>
    <t>Wrangler JL 2018-2025</t>
  </si>
  <si>
    <t>Wrangler JL 2dr/Wrangler JL Unlimited 4dr 2018-2025 (Excl. 4xe, Diesel, 2.0 Turbo &amp; V8); 2020-2025 Gladiator (Excl. Diesel &amp; Turbo)</t>
  </si>
  <si>
    <t>Wrangler JL 2018-2025 (Excl. 4xe)</t>
  </si>
  <si>
    <t>Wrangler JL Unlimited 4dr 2018-2025 (Exclude 4xe)</t>
  </si>
  <si>
    <t>Wrangler Unlimited 4dr 2007-2011; Wrangler 2dr 2007-2011</t>
  </si>
  <si>
    <t>Silverado 1500LD Classic 2003-2007</t>
  </si>
  <si>
    <t>Silverado 25/3500 HD Classic 2003-2007</t>
  </si>
  <si>
    <t>Tundra 2007-2021</t>
  </si>
  <si>
    <t>2500/3500 2010-2018</t>
  </si>
  <si>
    <t>Silverado/Sierra 1500 2014-2015</t>
  </si>
  <si>
    <t>Silverado 25/3500 2007-2010 (Excl Classic)</t>
  </si>
  <si>
    <t>F-250/350/450/550 Super Duty 2008-2016</t>
  </si>
  <si>
    <t>Ram 1500 Special Service Vehicle 2013-2018; Ram 1500 Classic Special Service Vehicle 2019-2023</t>
  </si>
  <si>
    <t>Silverado 2500/3500 2015-2019</t>
  </si>
  <si>
    <t>F-150 2015-2025 (Excl. Raptor and Lightning)</t>
  </si>
  <si>
    <t>Colorado/Canyon 2015-2020</t>
  </si>
  <si>
    <t>F-250/350 2017-2025; F-450/550/600 2023-2024</t>
  </si>
  <si>
    <t>Wrangler JL 2dr/Wrangler JL Unlimited 4dr 2018-2025; Gladiator 2020-2025</t>
  </si>
  <si>
    <t>Silverado 1500 2019-2021, 2022 LTD, 2023-2025 (Excl. 2019 LD)</t>
  </si>
  <si>
    <t>1500 2019-2025 (Excl. 2019-2024 1500 Classic)(Excl. Rebel, Warlock &amp; TRX)(Excl. ECO Diesel)</t>
  </si>
  <si>
    <t>Ram 2500/3500 2019-2024 (Exclude Power Wagon)</t>
  </si>
  <si>
    <t>Suburban/Tahoe 2021-2025</t>
  </si>
  <si>
    <t>2024-2025 Silverado 2500/3500</t>
  </si>
  <si>
    <t>Colorado/Canyon 2015-2022; Tacoma 2005-2023</t>
  </si>
  <si>
    <t>Colorado/Canyon 2015-2022; Tacoma 2005-2015</t>
  </si>
  <si>
    <t>Silverado 1500 2007-2025 &amp; 1500 LTD 2022; Sierra 2007-2015 (Excl. 2007 Classic); Silverado LD 2019; Silverado 2500/3500 2015-2025; Tahoe/Suburban 2015-2020 (Excl. Suburban 2500HD/3500HD)</t>
  </si>
  <si>
    <t>Ram 2500/3500 2010-2024</t>
  </si>
  <si>
    <t>F-150 2009-2020; F-250/350/450/550/600 2020-2025 (Excl. 2017 &amp; up Raptor Edition) (Excl. Platinum Edition)</t>
  </si>
  <si>
    <t>Ram 1500 2009-2018; Ram 1500 Classic 2019-2024 (Exclude Warlock, Rebel &amp; TRX)</t>
  </si>
  <si>
    <t>Use with Roller Fairlead Winches</t>
  </si>
  <si>
    <t>Use with Hawse Fairlead Winches</t>
  </si>
  <si>
    <t>Tow Hook (1 per)</t>
  </si>
  <si>
    <t>Silverado 1500 2014-2025 &amp; 1500 LTD 2022; Silverado LD 2019; Silverado 2500/3500 2007-2025</t>
  </si>
  <si>
    <t>F-150 2009-2020; F-250/350/450/550/600 2020-2025 (Excl. Platinum &amp; 2017+ Raptor)</t>
  </si>
  <si>
    <t>10,000 lbs., 12VDC, 3/8 in x 54 ft. Synthetic rope with soft shackle, ergo handheld remote control, wireless remote, 1.9HP Permanent Magnet Motor with Dynamic Braking, Full Load Holding Automatic Brake, 4-stage planetary, 437:1 low gear ratio, 156:1 high gear ratio, ergo pull and turn free spool clutch, aluminum hawse fairlead</t>
  </si>
  <si>
    <t>11,500 lbs, 12 VDC, 3/8 in x 84 ft steel rope, weather sealed solenoid, handheld remote control, 5.8 Hp, 3-stage planetary, 218:1 gear ratio and stainless steel 4-way roller fairlead</t>
  </si>
  <si>
    <t>11,500 lbs, 12 VDC, 3/8 in x 80 ft synthetic rope, weather sealed solenoid, handheld remote control, 5.8 Hp, 3-stage planetary, 218:1 gear ratio and aluminum hawse fairlead</t>
  </si>
  <si>
    <t>15,000 lbs., 12 VDC, 7/16 in. x 82 ft. wire rope, handheld remote control, 6.8 HP, automatic brake, 3-stage planetary, 262:1 gear ratio, freespool clutch, 4-way roller fairlead</t>
  </si>
  <si>
    <t>15,000 lbs., 12 VDC, 15/32 in. x 78 ft. synthetic rope, handheld remote control, 6.8 HP, automatic brake, 3-stage planetary, 262:1 gear ratio, freespool clutch, aluminum hawse fairlead</t>
  </si>
  <si>
    <t>18,000 lbs., 12 VDC, 29/64 in x 85 ft. wire rope, handheld remote control, 6.8 HP, automatic cone brake, 3-stage planetary, 345:1 gear ratio, freespool clutch, 4-way roller fairlead</t>
  </si>
  <si>
    <t>18,000 lbs., 12 VDC, 33/64 in. x 78.7 ft. synthetic rope, handheld remote control, 6.8 HP, automatic cone brake, 3-stage planetary, 345:1 gear ratio, freespool clutch, aluminum hawse fairlead</t>
  </si>
  <si>
    <t>66.7 kN, Meets EN 14492-1, CE Compliance, 24VDC, No Rope, handheld remote control with 30 ft cable, 6.8 HP, automatic brake, 3-stage planetary, 345:1 gear ratio, freespool clutch, 4-way roller fairlead</t>
  </si>
  <si>
    <t>18,000 lbs., 24 VDC, 29/64 in x 85 ft. wire rope, handheld remote control with 30 ft. cable, 6.8 HP, automatic cone brake, 3-stage planetary, 345:1 gear ratio, freespool clutch, 4-way roller fairlead</t>
  </si>
  <si>
    <t>18,000 lbs., 24 VDC, 33/64 in. x 78.7 ft. synthetic rope, handheld remote control with 30 ft. cable, 6.8 HP, automatic cone brake, 3-stage planetary, 345:1 gear ratio, freespool clutch, aluminum hawse fairlead</t>
  </si>
  <si>
    <t>9,500 lbs, 12 VDC, 11/32 in x 95 ft steel rope, weather sealed solenoid, handheld remote control, 5.2 Hp, 3-stage planetary, 218:1 gear ratio and stainless steel 4-way roller fairlead</t>
  </si>
  <si>
    <t>9,500 lbs, 12 VDC, 3/8 in x 80 ft synthetic rope, weather sealed solenoid, handheld remote control, 5.2 Hp, 3-stage planetary, 218:1 gear ratio and aluminum hawse fairlead</t>
  </si>
  <si>
    <t>Soft Shackle Rope end safely replaces metal hook,28' Synthetic rope,24 VDC 1,000 lbs rated line pull,2.0AH Lithium Battery &amp; Charger,13' handheld wired remote control,Wireless remote works up to 50',DC Brushed Motor,Variable Speed,LED Display</t>
  </si>
  <si>
    <t>Battery for Hand Hauler 1000 Winch</t>
  </si>
  <si>
    <t>Battery Charger for Hand Hauler 1000 Winch</t>
  </si>
  <si>
    <t>Remote Control for Hand Hauler 1000 Winch</t>
  </si>
  <si>
    <t>Synthetic Rope for Hand Hauler 1000 Winch</t>
  </si>
  <si>
    <t>10,000 lbs., 12 VDC, 3/8 in x 85 ft. wire rope, ergo handheld remote control, 5.5 HP, automatic brake, 3-stage planetary, 218:1 gear ratio, ergo pull and turn freespool clutch, stainless steel 4-way roller fairlead</t>
  </si>
  <si>
    <t>10,000 lbs., 12 VDC, 3/8 in x 80 ft. synthetic rope, ergo handheld remote control, wireless remote, 5.5 HP, automatic brake, 3-stage planetary, 218:1 gear ratio, ergo pull and turn freespool clutch, aluminum hawse fairlead</t>
  </si>
  <si>
    <t>10,000 lbs., 12VDC, no rope, ergo handheld remote control, wireless remote, 5.5 HP, automatic brake, 3-stage planetary, 218:1 gear ratio, ergo pull and turn freespool clutch, aluminum hawse fairlead</t>
  </si>
  <si>
    <t>10,000 lbs., 12 VDC, 3/8 in x 80 ft. synthetic rope, ergo handheld remote control, 5.5 HP, automatic brake, 3-stage planetary, 218:1 gear ratio, ergo pull and turn freespool clutch, aluminum hawse fairlead</t>
  </si>
  <si>
    <t>12,000 lbs., 12 VDC, 3/8 in x 85 ft. wire rope, ergo handheld remote control, 6.0 HP, automatic brake, 3-stage planetary, 231:1 gear ratio, ergo pull and turn freespool clutch, stainless steel 4-way roller fairlead</t>
  </si>
  <si>
    <t>12,000 lbs., 12 VDC, 3/8 in x 80 ft. synthetic rope, ergo handheld remote control, wireless remote, 6.0 HP, automatic brake, 3-stage planetary, 231:1 gear ratio, ergo pull and turn freespool clutch, aluminum hawse fairlead</t>
  </si>
  <si>
    <t>12,000 lbs., 12VDC, no rope, ergo handheld remote control, wireless remote, 6.0 HP, automatic brake, 3-stage planetary, 231:1 gear ratio, ergo pull and turn freespool clutch, aluminum hawse fairlead</t>
  </si>
  <si>
    <t>12,000 lbs., 12 VDC, 3/8 in x 80 ft. synthetic rope, ergo handheld remote control, 6.0 HP, automatic brake, 3-stage planetary, 231:1 gear ratio, ergo pull and turn freespool clutch, aluminum hawse fairlead</t>
  </si>
  <si>
    <t>1,5000 lbs., 1.1 HP 120V AC permanent magnetic motor, standard drum, dynamic motor brake, planetary gear, 262:1 gear ratio; kit includes: 10ft remote control, 1/8 In x 35ft. wire rope, roller fairlead, and 9.6ft power cord</t>
  </si>
  <si>
    <t>EN Compliant, 35KN, 12 VDC, no rope, weather sealed solenoid, handheld remote control, 6.0 Hp, 3-stage planetary, 218:1 gear ratio and aluminum hawse fairlead</t>
  </si>
  <si>
    <t>EN Compliant, 35KN, 12 VDC, 10 MM x 21.3 M steel rope, weather sealed solenoid, handheld remote control, 6.0 Hp, 3-stage planetary, 218:1 gear ratio and stainless steel 4-way roller fairlead</t>
  </si>
  <si>
    <t>EN Compliant, 35KN, 12 VDC, no rope, weather sealed solenoid, handheld remote control, 6.0 Hp, 3-stage planetary, 218:1 gear ratio and stainless steel 4-way roller fairlead</t>
  </si>
  <si>
    <t>EN Compliant, 35KN, 24 VDC, 10 MM x 21.3 M steel rope, weather sealed solenoid, handheld remote control, 6.0 HP, 3-stage planetary, 218:1 gear ratio and stainless steel 4-way roller fairlead</t>
  </si>
  <si>
    <t>EN Compliant, 35KN, 24 VDC, no rope, weather sealed solenoid, handheld remote control, 6.0 Hp, 3-stage planetary, 218:1 gear ratio and stainless steel 4-way roller fairlead</t>
  </si>
  <si>
    <t>2,000 lbs, 12 VDC, 5/32 in x 49 ft steel rope, dual relays and circuit breaker protected, handle bar mounted switch, 1.0 Hp, dynamic brake, 1-stage planetary, 153:1 gear ratio, zinc plated 4-way roller fairlead</t>
  </si>
  <si>
    <t>3,000 lbs, 12 VDC, 3/16 in x 50 ft steel rope, sealed solenoid, 12 ft handheld remote, 1.2 Hp, automatic load holding brake, 1-stage planetary, 136:1 gear ratio, zinc plated 4-way roller fairlead</t>
  </si>
  <si>
    <t>4,000 lbs, 12 VDC, 3/16 in x 50 ft steel rope, sealed solenoid, 12 ft handheld remote control and handle bar switch, 1.4 Hp, automatic load holding brake, 3-stage planetary, 166:1 gear ratio, zinc plated 4-way roller fairlead</t>
  </si>
  <si>
    <t>4,000 lbs, 12 VDC, 3/16 in x 50 ft synthetic rope, sealed solenoid, 12 ft handheld remote control and handle bar switch, 1.4 Hp, automatic load holding brake, 3-stage planetary, 166:1 gear ratio, aluminum hawse fairlead</t>
  </si>
  <si>
    <t>2,000 lbs, 12 VDC, 5/32 in x 49 ft steel rope, circuit breaker protected, 8 ft handheld remote control, 1.0 Hp, no brake, 1-stage planetary, 153:1 gear ratio, no fairlead</t>
  </si>
  <si>
    <t>3,000 lbs, 12 VDC, 3/16 in x 40 ft steel rope, circuit breaker protected, 12 ft handheld remote control, 1.2 Hp, dynamic brake, 1-stage planetary, 153:1 gear ratio, zinc plated 4-way roller fairlead</t>
  </si>
  <si>
    <t>5,500 lbs, 12 VDC, 9/32 in x 60 ft steel rope, 30.5 ft handheld remote control, 3.6 Hp, mechanical brake, 3-stage planetary, 185:1 gear ratio, stainless steel 2-way fairlead</t>
  </si>
  <si>
    <t>5,500 lbs, 12 VDC, 1/4 in x 60 ft synthetic rope, 30.5 ft handheld remote control, 3.6 Hp, mechanical brake, 3-stage planetary, 185:1 gear ratio, stainless steel 2-way fairlead</t>
  </si>
  <si>
    <t>5,500 lbs, 24 VDC, 7/32 in x 60 ft steel rope, 30.5 ft handheld remote control, 3.6 Hp, mechanical brake, 3-stage planetary, 185:1 gear ratio, stainless steel 2-way fairlead</t>
  </si>
  <si>
    <t>5,500 lbs, 24 VDC, 1/4 in x 60 ft synthetic rope, 30.5 ft handheld remote control, 3.6 Hp, mechanical brake, 3-stage planetary, 185:1 gear ratio, stainless steel 2-way fairlead</t>
  </si>
  <si>
    <t>7,500 lbs, 12 VDC, 5/16 in x 55 ft steel rope, 30.5 ft handheld remote control, 3.6 Hp, mechanical brake, 3-stage planetary, 249:1 gear ratio, stainless steel 2-way fairlead</t>
  </si>
  <si>
    <t>7,500 lbs, 12 VDC, 5/16 in x 55 ft synthetic rope, 30.5 ft handheld remote control, 3.6 Hp, mechanical brake, 3-stage planetary, 249:1 gear ratio, stainless steel 2-way fairlead</t>
  </si>
  <si>
    <t>7,500 lbs, 24 VDC, 5/16 in x 54 ft steel rope, 30.5 ft handheld remote control, 3.6 Hp, mechanical brake, 3-stage planetary, 249:1 gear ratio, stainless steel 2-way fairlead</t>
  </si>
  <si>
    <t>7,500 lbs, 24 VDC, 5/16 in x 54 ft synthetic rope, 30.5 ft handheld remote control, 3.6 Hp, mechanical brake, 3-stage planetary, 249:1 gear ratio, stainless steel 2-way fairlead</t>
  </si>
  <si>
    <t>S5500/S7500 12V Winches, 200 Amp Rating, 50 Amp Blocks (4X), No Hardware</t>
  </si>
  <si>
    <t>S5500/S7500 24V Winches, 80 Amp Rating, 40 Amp Blocks (2X), No Hardware</t>
  </si>
  <si>
    <t>For SI 8000, 10000, 12000, AND 15000 Hydraulic Winches</t>
  </si>
  <si>
    <t>2500 lbs., 12V DC, 3/16 in. x 40 ft. steel rope, sealed solenoid with circuit breaker, handheld remote control and handlebar switch, 1.5 hp, 3 stage planetary, 138:1 gear ratio, 4 way roller fairlead, mounting plate.</t>
  </si>
  <si>
    <t>2500 lbs., 12V DC, 3/16 in. x 40 ft. Synthetic rope, sealed solenoid with circuit breaker, handheld remote control and handlebar switch, 1.5 hp, 3 stage planetary, 138:1 gear ratio, aluminum hawse fairlead, mounting plate.</t>
  </si>
  <si>
    <t>3,500 lbs., 12 VDC, 7/32 in x 40 ft. steel rope, sealed solenoid with circuit breaker, handheld remote control and dash mounted switch, 3-stage planetary, 198:1 gear ratio, roller fairlead</t>
  </si>
  <si>
    <t>3,500 lbs., 12 VDC, 7/32 in x 40 ft. synthetic rope, sealed solenoid with circuit breaker, handheld remote control and dash mounted switch, 3-stage planetary, 198:1 gear ratio, hawse fairlead</t>
  </si>
  <si>
    <t>3500 lbs., 12V DC, 7/32 in. x 32 ft. steel rope, sealed solenoid with circuit breaker, handheld remote control and handlebar switch, 1.6 hp, 3 stage planetary, 198:1 gear ratio, 4 way roller fairlead, mounting plate.</t>
  </si>
  <si>
    <t>3500 lbs., 12V DC, 7/32 in. x 32 ft. Synthetic rope, sealed solenoid with circuit breaker, handheld remote control and handlebar switch, 1.6 hp, 3 stage planetary, 198:1 gear ratio, aluminum hawse fairlead, mounting plate.</t>
  </si>
  <si>
    <t>3500 lbs., 12V DC, NO Rope, Sealed Solenoid with Circuit Breaker, Wireless Remote Control, 1.6hp, 3 Stage Planetary, 198:1 Gear Ratio, Aluminum Hawse Fairlead, Fairlead Mounting Plate</t>
  </si>
  <si>
    <t>4,000 lbs, 12 VDC, 7/32 in x 40 ft steel rope, 12 ft corded handheld remote, 1.4 Hp, 166:1 gear ratio, steel baseplate with integrated hawse fairlead. Includes: (2) 8 ft straps rated at 4,000 lbs, (3) D-Shackles rated at 4,000 lbs, (1) Snatch Block rated at 8,000 lbs, (1) 10 ft quick connect power cord and leather gloves</t>
  </si>
  <si>
    <t>4,000 lbs, 12 VDC, 3/16 in x 50 ft synthetic rope, 12 ft corded handheld remote, 1.4 Hp, 166:1 gear ratio, steel baseplate with integrated hawse fairlead. Includes: (2) 8 ft straps rated at 4,000 lbs, (3) D-Shackles rated at 4,000 lbs, (1) Snatch Block rated at 8,000 lbs, (1) 10 ft quick connect power cord and leather gloves.</t>
  </si>
  <si>
    <t>4,500 lbs., 12 VDC, 15/64 in x 40 ft. steel rope, sealed solenoid with circuit breaker, handheld remote control and dash mounted switch, 3-stage planetary, 198:1 gear ratio, roller fairlead</t>
  </si>
  <si>
    <t>4,500 lbs., 12 VDC, 1/4 in x 40 ft. synthetic rope, sealed solenoid with circuit breaker, handheld remote control and dash mounted switch, 1.8 hp, 3-stage planetary, 198:1 gear ratio, hawse fairlead</t>
  </si>
  <si>
    <t>4500 lbs., 12V DC, 15/64 in. x 50 ft. Steel rope, sealed solenoid with circuit breaker, handheld remote control and handlebar switch, 1.8 hp, 3 stage planetary, 198:1 gear ratio, 4 way roller fairlead, mounting plate.</t>
  </si>
  <si>
    <t>4500 lbs., 12V DC, 1/4 in. x 50 ft. Synthetic rope, sealed solenoid with circuit breaker, handheld remote control and handlebar switch, 1.8 hp, 3 stage planetary, 198:1 gear ratio, aluminum hawse fairlead, mounting plate.</t>
  </si>
  <si>
    <t>Neoprene Material with Superwinch Logo for use with LP Series; Tiger Shark 9500/11500</t>
  </si>
  <si>
    <t>Neoprene Material with Superwinch Logo for use with Sx 10000/12000; Talon 9.5 Integrated Winches</t>
  </si>
  <si>
    <t>Neoprene Materialwith Superwinch Logo for use with Talon 9.5 (non-integrated) Talon 12.5; Tiger Shark 13500/15500/17500 Winches</t>
  </si>
  <si>
    <t>Neoprene Material with Superwinch Logo for use with S Series</t>
  </si>
  <si>
    <t>5' Leadwire, electrical connectors and cable ties. Fits 5,000-18,000 lb Winches</t>
  </si>
  <si>
    <t>24' Leadwire, electrical connectors and cable ties. Fits 5,000-18,000 lb Winches</t>
  </si>
  <si>
    <t>For use with SX 10000, Talon 9.5, Tiger Shark 9500, LP 8500/10000, Terra 45, UT3000 and SX 45 Winches. Includes: Mounting Hardware, Fairlead Adapter Plate and Hitch Pin; Works With Any 2" Receiver Hitch.</t>
  </si>
  <si>
    <t>Replacement Circuit Breaker for LP; Tiger Shark 9500/113500/35K; S5500/S7500 Winches; 150 AMP Rating</t>
  </si>
  <si>
    <t>Pulley Block rated to 8,000 lbs</t>
  </si>
  <si>
    <t>Pulley Block rated to 12,000 lbs</t>
  </si>
  <si>
    <t>Electrical Connectors for winches up to 18,000 lbs</t>
  </si>
  <si>
    <t>Remote Control with 30' cable for S3000/S3500/S4000/S4500/S5500/S7500/S9000; X9 Winches; C1000 Crane Winch</t>
  </si>
  <si>
    <t>Remote Control with 15' cable for S3000/S3500/S4000/S4500/S5500/S7500/S9000; X9 Winches; C1000 Crane Winch</t>
  </si>
  <si>
    <t>Remote Control for Tiger Shark 9500/9500SR/11500/11500SR/18000/18000SR; LP8500/10000; UT3000 Winches</t>
  </si>
  <si>
    <t>Remote Control with 12 ft cable for Terra 25/25SR/2500/2500SR/35/35SR/3500/3500SR/45/45SR/4500/4500SR; Tiger Shark 13500/15000/1500SR/15500/17500/18000/18000SR; NX-1 Winches; SH1000 Hoists</t>
  </si>
  <si>
    <t>Includes: wireless receiver, transmitter, lanyard and all required wiring, adapters and hardware. For all 12V electric Superwinch winches (Excl. hydraulic)(Excl. LT2000 Winch)</t>
  </si>
  <si>
    <t>Includes: wireless receiver and transmitter</t>
  </si>
  <si>
    <t>24V;Includes: wireless receiver and transmitter</t>
  </si>
  <si>
    <t>1" wide x 8' long with reinforced closed-loop ends and rated to 10,000 lbs</t>
  </si>
  <si>
    <t>(2) 1/2" with 5/8" diameter pin; 4,400 lb capacity</t>
  </si>
  <si>
    <t>Replacement Roller Fairlead for LP10000 Winch</t>
  </si>
  <si>
    <t>Neoprene Material with Superwinch Logo for use with LT Series; Terra Series; UT Series Winches</t>
  </si>
  <si>
    <t>Use with LT2000 Winch only. Kit includes: Weather Sealed Rocker Switch with Mounting Hardware, High Amp Relay Control Box &amp; Owner's Manual.</t>
  </si>
  <si>
    <t>Tacoma 2024</t>
  </si>
  <si>
    <t>Tundra 2022-2025</t>
  </si>
  <si>
    <t>Bronco 2021-2025 (Excl. Raptor &amp; Sport)</t>
  </si>
  <si>
    <t>Polaris RZR Pro XP 2020-2024</t>
  </si>
  <si>
    <t>Polaris RZR Pro R 2020-2024</t>
  </si>
  <si>
    <t>2" wide x 30' long with reinforced closed-loop ends rated to 20,000lbs</t>
  </si>
  <si>
    <t>(2) 3/4" with 7/8" diameter pin; 10,000 lb capacity</t>
  </si>
  <si>
    <t>Heavy duty vinyl type material with lead free weight, interior accessory pockets, and hook &amp; loop fasteners. 19.5" x 16.75" with white Superwinch logo</t>
  </si>
  <si>
    <t>Fits 2" Class III/IV Hitch Receiver rated at 10,000 lbs; includes 3/4" bow shackle with 7/8" pin</t>
  </si>
  <si>
    <t>1/2" Soft Shackle; 38,000 lbs. breaking strength</t>
  </si>
  <si>
    <t>Includes: (1) 36,000 lb Snatch Block, (2) 3/4" Bow Shackles rated at 10,000 lbs, (1) 4"x8' Tree Trunk Protector rated at 30,000 lbs, (1) 3"x30' Recovery Strap rated at 26,000 lbs, (1) 10 ft of 5/16" grade-1 Choker Chain, (1) Winching Gloves, Heavy Duty Denier Gear Bag</t>
  </si>
  <si>
    <t>Includes: (1) 20,000 lb Snatch Block, (2) 3/4" Bow Shackles rated at 10,000 lbs, (1) 2"x30" Recovery Strap rated at 20,000 lbs, (1) 2"x8' Tree Trunk Protector rated at 20,000 lbs, (1) Winch Hook Snubber, (1) Winching Gloves, Heavy Duty Denier Gear Bag</t>
  </si>
  <si>
    <t>Includes: (1) 8,8000 lb Snatch Block, (1) 1/2" Bow Shackles rated at 4,400 lbs, (2) 1"x8' Tree Trunk Protector rated at 10,000 lbs, (1) Winching Gloves, Denier Gear Bag</t>
  </si>
  <si>
    <t>Includes: (2) 3/4" Bow Shackles rated at 10,000 lbs, (1) 2"x8' Tree Trunk Protector rated at 20,000 lbs, (1) 3"x30' Recovery Strap rated at 26,000 lbs, (1) Winching Gloves, Denier Gear Bag</t>
  </si>
  <si>
    <t>For use on winch ropes 5/32"-1/4" diameter</t>
  </si>
  <si>
    <t>Size XL</t>
  </si>
  <si>
    <t>For use on winch ropes 5/16"-1/2" diameter</t>
  </si>
  <si>
    <t>3" wide x 30' long with reinforced closed-loop ends rated at 26,000 lbs</t>
  </si>
  <si>
    <t>2" wide x 8' long with reinforced closed-loop ends rated at 20,000 lbs</t>
  </si>
  <si>
    <t>4" wide x 8' long with reinforced closed-loop ends rated at 30,000 lbs</t>
  </si>
  <si>
    <t>Wrangler JL 2018-2025; Gladiator 2020-2025</t>
  </si>
  <si>
    <t>Universal/Tacoma 2016-2023, 4Runner 40th Anniv/SR5 &amp; Premium/TRD Off-Road &amp; Pro/Trail/Venture 2014-2023 (Excl. Limited/Nightshade/TRD Sport)</t>
  </si>
  <si>
    <t>Recovery Traction Boards (Pair)</t>
  </si>
  <si>
    <t>1" diameter x 30' long, black, rated at 10,000 lbs. Working Load, 30,950 lbs. Max Strength. Includes a durable black water resistant storage bag with Superwinch logo</t>
  </si>
  <si>
    <t>Bronco 2022-2025 (Excl. Bronco Sport)</t>
  </si>
  <si>
    <t>Wrangler JL 2018-2025; Gladiator 2020-2025 (Excl. Diesel)</t>
  </si>
  <si>
    <t>Replacement Drum Bearing for LT-3000 Winch</t>
  </si>
  <si>
    <t>Replacement Drum Seal for LT-3000 Winch</t>
  </si>
  <si>
    <t>Replacement Roller Fairlead for H8P/H10P Hydraulic Winches Standard Drum</t>
  </si>
  <si>
    <t>Air Clutch for H8P/H10P Winches</t>
  </si>
  <si>
    <t>Replacement Drum Assembly for Tiger Shark 9500/11500</t>
  </si>
  <si>
    <t>Emergency Disconnect Switch for Tiger Shark 35 Winches</t>
  </si>
  <si>
    <t>Replacement Motor for the Tiger Shark 35 Winch 24V</t>
  </si>
  <si>
    <t>Husky 24V and X9 24V Winches</t>
  </si>
  <si>
    <t>Snatch Block rated to 20,000 lbs</t>
  </si>
  <si>
    <t>Snatch Block rated to 36,000 lbs</t>
  </si>
  <si>
    <t>Replacement Remote Control for LT2000 Winches</t>
  </si>
  <si>
    <t>Replacement Motor for LT3000 Winch</t>
  </si>
  <si>
    <t>Replacement Drum for LT3000 Winch</t>
  </si>
  <si>
    <t>Replacement Solenoid for LT3000, LT4000 &amp; Winch2Go</t>
  </si>
  <si>
    <t>Replacement Rocker Switch for LT3000/4000 Winches</t>
  </si>
  <si>
    <t>Replacement Remote Control for LT3000/4000 and Winch2Go Winches</t>
  </si>
  <si>
    <t>Replacement Roller Fairlead for LT2000/3000/4000 Winches</t>
  </si>
  <si>
    <t>Replacement Socket Assembly for LT2500/3000/4000 Winches</t>
  </si>
  <si>
    <t>Replacement Circuit Breaker for Terra, LT, and UT Winches; 100 AMP Rating</t>
  </si>
  <si>
    <t>Replacement Control Box for UT3000 12V Winch</t>
  </si>
  <si>
    <t>Replacement Hawse aluminum for LT4000SR Winch</t>
  </si>
  <si>
    <t>Replacement Motor for LT4000 Winch; Winch2Go</t>
  </si>
  <si>
    <t>Mounting Plate For LT UTV Winches</t>
  </si>
  <si>
    <t>Replacement Roller Fairlead for Terra 45/4500 Winches</t>
  </si>
  <si>
    <t>Replacement Roller Fairlead for Terra 25/2500/35/3500 Winches</t>
  </si>
  <si>
    <t>Replacement Motor for Terra 25 Winch</t>
  </si>
  <si>
    <t>Replacement Wire Rope 5.4MMX9.2M Length for Terra 25/2500/35/3500; LT2000/3000/4000; UT3000 Winches; Winch2Go</t>
  </si>
  <si>
    <t>Replacement Wire Rope 15/64" Diameter X 50' Length for Terra 4500</t>
  </si>
  <si>
    <t>Synthetic Winch Rope 14/ in. x 30 ft. for Terra 25SR/2500SR/35SR/3500SR; LT 4000 Synthetic Winches; Winch2Go</t>
  </si>
  <si>
    <t>Replacement Synthetic Rope 1/4" Diameter X 50' Length for Terra 4500SR</t>
  </si>
  <si>
    <t>Replacement Socket Assembly for Terra 25/35/45 Winches</t>
  </si>
  <si>
    <t>Replacement Hawse Aluminum for Terra 25SR/2500SR/35SR/3500SR Winches</t>
  </si>
  <si>
    <t>Replacement Hawse Aluminum for Terra 45SR/4500SR Winches</t>
  </si>
  <si>
    <t>Replacement Contactor for S5500/S7500 24V Winches</t>
  </si>
  <si>
    <t>Warning Label for S5500/S7500 Winches</t>
  </si>
  <si>
    <t>Replacement Wire Rope 5/16" diameter x 55' length for S5500/S7500 Winches</t>
  </si>
  <si>
    <t>Replacement Synthetic Rope 5/16" diameter x 55' length for S5500/S7500 Synthetic Winch</t>
  </si>
  <si>
    <t>Replacement Clutch Handle for S5500/S7500 Winches</t>
  </si>
  <si>
    <t>S5500 Drum Cover, Plastic, Yellow</t>
  </si>
  <si>
    <t>Baseplate for S5500/S7500 Winches</t>
  </si>
  <si>
    <t>Replacement Motor for S5500/S7500 12V Winches</t>
  </si>
  <si>
    <t>Replacement Motor for S5500/S7500 24V Winches</t>
  </si>
  <si>
    <t>Replacement Drum for S5500</t>
  </si>
  <si>
    <t>Replacement Drum for S7500</t>
  </si>
  <si>
    <t>Replacement Fairlead Assembly for S5500/S7500 Winches</t>
  </si>
  <si>
    <t>Replacement Motor Cover for S5500/S7500 Winches (3 pin plug)</t>
  </si>
  <si>
    <t>Replacement Remote Control with 30' cable for S3000/S3500/S4000/S4500/S5500/S7500/S9000; X9 Winches; C1000 Crane Winch</t>
  </si>
  <si>
    <t>Replacement Hawse steel for LP8500 Winch</t>
  </si>
  <si>
    <t>Replacement Solenoid for LP8500 Gen 2; LP10000 Winches</t>
  </si>
  <si>
    <t>Replacement Wire Rope 3/8" diameter x 85' length for LP8500/LP10000, SX10/12 Winches</t>
  </si>
  <si>
    <t>Replacement Socket Assembly for S3000/S3500/S4000/S4500/S5500/S7500/S9000; X9 Winches; C1000 Crane Winch</t>
  </si>
  <si>
    <t>Snatch Block rated to 12,000 lbs</t>
  </si>
  <si>
    <t>Drum Bushing</t>
  </si>
  <si>
    <t>Gearbox Coupling for Talon 9500/12500</t>
  </si>
  <si>
    <t>Replacement Clutch Handle for Talon 9500/12500 Winches</t>
  </si>
  <si>
    <t>Replacement Steel Wire Rope 29/64" diameter x 85' (11.5mm x 26m) length for Talon 14/18; Tiger Shark 18K Winches</t>
  </si>
  <si>
    <t>Replacement Clutch Handle for Talon 14/18 Winches/4</t>
  </si>
  <si>
    <t>Replacement Clutch Handle for Tiger Shark 9500/11500 Winches</t>
  </si>
  <si>
    <t>Replacement Hawse Aluminum Fairlead for Tiger Shark 9.5/11.5/15/18 &amp; 35kN Winches</t>
  </si>
  <si>
    <t>Replacement Socket Assembly for Tiger Shark 9500/9500SR/11500/11500SR/18000/18000SR; LP8500/10000; UT3000 Winches</t>
  </si>
  <si>
    <t>Replacement Wire Rope 5/16" diameter x 95' length for Tigershark 9500; Talon 9500/12500 Winches</t>
  </si>
  <si>
    <t>Replacement Wire Rope 3/8" diameter x 80' length for Tigershark 11500; NX10000 Winches</t>
  </si>
  <si>
    <t>Rated for Working Loads up to 12,000 Lbs.</t>
  </si>
  <si>
    <t>Replacement Clutch Handle for Tiger Shark 13500/15500/17500 Winches</t>
  </si>
  <si>
    <t>Replacement Socket Assembly for Tiger Shark 15000/18000 Winches</t>
  </si>
  <si>
    <t>Replacement Synthetic Rope 3/8" diameter x 80' length for Tiger Shark 9500/11500SR, SX10/12SR</t>
  </si>
  <si>
    <t>Motor Carbon brush set for S5500 &amp; S7500 winch</t>
  </si>
  <si>
    <t>Replacement Synthetic Rope 33/64" diameter x 78.7' length for Tiger Shark 18000SR 12V/24V Winches</t>
  </si>
  <si>
    <t>Replacement Wire Rope 15/64 in x 40 ft. for SP 35/45 Winches</t>
  </si>
  <si>
    <t>Replacement Synthetic Rope 1/4 in x 40ft. For SP 35SR/45SR Winches</t>
  </si>
  <si>
    <t>Replacement Synthetic Rope 15/32" diameter x 78' length for the Tiger Shark 15000SR Winch</t>
  </si>
  <si>
    <t>Replacement Wire Rope 7/16" diameter x 82' length for the Tiger Shark 15000 Winch</t>
  </si>
  <si>
    <t>Replacement Brake for Tiger Shark 9500</t>
  </si>
  <si>
    <t>Replacement Solenoid for Tiger Shark 9500/11500/35K, SX10/12 Winches</t>
  </si>
  <si>
    <t>Replacement Roller Fairlead for Tiger Shark 9500/11500, SX10/12 Winches</t>
  </si>
  <si>
    <t>Replacement Remote Control for Tiger Shark 9500/11500; LP8500/10000; UT3000 Winches</t>
  </si>
  <si>
    <t>Replacement Roller Fairlead for Tiger Shark 13500/15500/17500 Winches</t>
  </si>
  <si>
    <t>Replacement Brake Assembly for Tiger Shark 9500/11500</t>
  </si>
  <si>
    <t>Replacement Motor for Tiger Shark 9500 Winch</t>
  </si>
  <si>
    <t>Replacement Motor for Tiger Shark 11500 Winch</t>
  </si>
  <si>
    <t>Replacement Remote Control with 15' cable for S3000/S3500/S4000/S4500/S5500/S7500/S9000; X9 Winches; C1000 Crane Winch (3 pin plug)</t>
  </si>
  <si>
    <t>Replacement Motor for Talon 9.5/14.0 Winches</t>
  </si>
  <si>
    <t>Replacement Solenoid Box Assembly for Tiger Shark 11500 &amp; 9500</t>
  </si>
  <si>
    <t>Replacement Socket Assembly for SX10/12 Winches</t>
  </si>
  <si>
    <t>For Tiger Shark 9500/9500SR/11500/11500SR Winches. Includes Seals, Bushings, Bearings and Brake Assembly.</t>
  </si>
  <si>
    <t>Replacement Clutch Handle for SX10/12 Winches</t>
  </si>
  <si>
    <t>Replacement Tie Bar w/Led Light for SX10/12 Winches</t>
  </si>
  <si>
    <t>Replacement Hawse Fairlead for SX10SR/12SR Winches</t>
  </si>
  <si>
    <t>Replacement Wired Remote for SX10/12 Winches</t>
  </si>
  <si>
    <t>Replacement Motor (5.5HP) for SX10 Winches</t>
  </si>
  <si>
    <t>Replacement Motor (6.0HP) for SX12 Winches</t>
  </si>
  <si>
    <t>Rated for Working Loads up to 7,500 lbs.</t>
  </si>
  <si>
    <t>Clevis Hook for LT3000/AC1500 1/4 IN.</t>
  </si>
  <si>
    <t>Replacement Control Box for SX 10/10SR/12/12SR. Includes Control Box, Remote Socket, Motor Cables, Power Cable, Contactor, Drum Light Wiring, Hardware. (Does not include wireless receiver)</t>
  </si>
  <si>
    <t>Replacement Control Box for Tiger Shark 18000/18000SR/15000/15000SR Winches. Includes Control Box, Remote Socket, Motor Cables, Power Cable, Contactor, Hardware</t>
  </si>
  <si>
    <t>Replacement Socket Assembly for SX 10/10SR/12/12SR. Include Remote Control Socket and Wiring.</t>
  </si>
  <si>
    <t>Replacement Motor for Tiger Shark 18000/18000SR/15000/15000SR Winches. Includes Motor and Roller Bearing</t>
  </si>
  <si>
    <t>Replacement Motor for SX 10/10SR. Includes Motor and Roller Bearing</t>
  </si>
  <si>
    <t>Replacement Clutch for Tiger Shark 18000/18000SR Winches</t>
  </si>
  <si>
    <t>Replacement Motor for SX 12/12SR. Includes Motor and Roller Bearing</t>
  </si>
  <si>
    <t>For Tiger Shark 18000/18000SR/66 kN Winches. Includes Seals, Bushings, Bearings, and Brake Assembly</t>
  </si>
  <si>
    <t>Replacement Remote Control for SX10/10SR/12/12SR.</t>
  </si>
  <si>
    <t>Rated for Working Loads up to 18,000 lbs.</t>
  </si>
  <si>
    <t>Replacement Clutch Assembly for SX10/10SR/12/12SR</t>
  </si>
  <si>
    <t>Replacement Contactor for Tiger Shark 18000/18000SR/15000/15000SR Winches</t>
  </si>
  <si>
    <t>For SX 10/10SR/12/12SR. Includes Seals, Bushings, Bearings and Brake Assembly.</t>
  </si>
  <si>
    <t>Replacement Cables for Tiger Shark 18000/18000SR/15000/15000SR/66.7kN Winches</t>
  </si>
  <si>
    <t>Replacemet Hawse Fairlead SX10SR/12SR; Tiger Shark 15000SR/18000SR Winches (Includes M10 Mounting Hardware)</t>
  </si>
  <si>
    <t>SX10/12 (Rated for Working Loads up to 12,000 lbs)</t>
  </si>
  <si>
    <t>For SX 10/10SR/12/12SR.</t>
  </si>
  <si>
    <t>Replacement Motor for Terra 2500/2500SR Winches</t>
  </si>
  <si>
    <t>Replacement Motor for Terra 3500/3500SR Winches</t>
  </si>
  <si>
    <t>Replacement Motor for Terra 4500/4500SR Winches</t>
  </si>
  <si>
    <t>Replacement Contactor for 2500/2500SR/3500/3500SR/4500/4500SR Winches</t>
  </si>
  <si>
    <t>Replacement Cables for 2500/2500SR/3500/3500SR/4500/4500SR Winches</t>
  </si>
  <si>
    <t>Replacement Handlebar Switch for 2500/2500SR/3500/3500SR/4500/4500SR Winches</t>
  </si>
  <si>
    <t>Replacement Socket Assembly for 2500/2500SR/3500/3500SR/4500/4500SR Winches</t>
  </si>
  <si>
    <t>For Terra 2500/2500SR/3500/3500SR/4500/4500SR. Includes Bushings, Bearings, O-Rings, and Tie Bars.</t>
  </si>
  <si>
    <t>Replacement Motor for S5500, S5500SR, S7500, and S7500SR Winches</t>
  </si>
  <si>
    <t>For S5500, S5500SR, S7500, and S7500SR Winches. Includes Seals, Bushings, Bearings and Brake Assembly.</t>
  </si>
  <si>
    <t>For S5500, S5500SR, S7500, and S7500SR Winches</t>
  </si>
  <si>
    <t>Rated for Working Loads up to 4,500 lbs.</t>
  </si>
  <si>
    <t>Replacement Clutch Assembly for Tiger Shark 15000/15000SR</t>
  </si>
  <si>
    <t>For Tiger Shark 15000/15000SR. Includes Seals, Bushings, Bearings and Brake Assembly.</t>
  </si>
  <si>
    <t>Replacement Contactor for Tiger Shark 18K/66.7 kN Winch</t>
  </si>
  <si>
    <t>Replacement Control Box for Tiger Shark 18K/66.7 kN Winch</t>
  </si>
  <si>
    <t>Replacement Motor for Tiger Shark 18K/66.7kN 24V Winches</t>
  </si>
  <si>
    <t>Synthetic Rope Protective Sleeve</t>
  </si>
  <si>
    <t>For SP 35/35SR/45/45SR. Includes Bushings, Bearings, O-Rings, and Gaskets.</t>
  </si>
  <si>
    <t>Replacement Cables for SP 35/35SR/45/45SR Winches</t>
  </si>
  <si>
    <t>Replacement Motor for SP 35/35SR</t>
  </si>
  <si>
    <t>Replacement Motor for SP 45/45SR</t>
  </si>
  <si>
    <t>Replacement Socket Assembly for SP 35/35SR/45/45SR Winches</t>
  </si>
  <si>
    <t>Replacement Wiring Harness for SP 35/35SR/45/45SR Winches</t>
  </si>
  <si>
    <t>Replacement Hawse aluminum fairlead for SP 35/35SR/45/45SR Winches</t>
  </si>
  <si>
    <t>For LT3000/4000/4000SR, Winch2Go, and Winch2Go SR Winches. Includes Bushings, Bearings, O-Rings, and Seals.</t>
  </si>
  <si>
    <t>Replacement Cables for Winch2Go and Winch2Go SR Winches</t>
  </si>
  <si>
    <t>Replacement Socket Assembly for Winch2Go and Winch2Go SR Winches</t>
  </si>
  <si>
    <t>Replacement 24V Solenoid for Tiger Shark 9500/11500/35K, SX10/12 Winches</t>
  </si>
  <si>
    <t>Replacement 24V Circuit Breaker for LT; LP; UT series winches; Tiger Shark 9500/11500/35K; S5500/S7500 Winches</t>
  </si>
  <si>
    <t>Replacement Clutch Assembly for S5500, S5500SR, S7500, and S7500SR Winches</t>
  </si>
  <si>
    <t>For LP8500 and LP10000 Winches. Includes Bushings, Bearings, O-Rings, and Gaskets.</t>
  </si>
  <si>
    <t>Replacement Clutch Assembly for LP8500 and LP10000 Winches</t>
  </si>
  <si>
    <t>Replacement Motor for LP8500 and LP10000 Winches</t>
  </si>
  <si>
    <t>For the AC 1500 Winch. Includes Bushings, Bearings, and Set Screw.</t>
  </si>
  <si>
    <t>Replacement Control Box/Motor for the AC 1500 Winch.</t>
  </si>
  <si>
    <t>Replacement Remote Control for the AC 1500 Winch.</t>
  </si>
  <si>
    <t>Replacement Socket Assembly for the AC 1500 Winch.</t>
  </si>
  <si>
    <t>Replacement Hardware Kit for Tiger Shark 15000/15000SR/18000/18000SR 12V/24V Winches</t>
  </si>
  <si>
    <t>Replacement Hardware Kit for SX 10/10SR/12/12SR, Tiger Shark 9500/9500SR/11500/11500SR</t>
  </si>
  <si>
    <t>Replacement Hardware Kit for Terra 2500/2500SR/3500/3500SR/4500/4500SR, Winch2Go, Winch2Go SR, LT2000, LT3000, LT4000, LT4000SR, and UT3000 Winches</t>
  </si>
  <si>
    <t>Replacement Brush Kit for Tiger Shark 9500/11500 and SX10/12 Winches</t>
  </si>
  <si>
    <t>Tensioner Kit For Tiger Shark 66.7kN</t>
  </si>
  <si>
    <t>Replacement Latches for Winch2Go and Winch2Go SR Winches</t>
  </si>
  <si>
    <t>Control Box Relocation Cablke Kit for SX10/12 Winches.</t>
  </si>
  <si>
    <t>Replacement Tie Bar w/Led Light for SP Series Winches</t>
  </si>
  <si>
    <t>Replacement Contactor for S5500/S7500 12V Winches</t>
  </si>
  <si>
    <t>Replacement Contactor for SI Small Frame 24V DC Winch</t>
  </si>
  <si>
    <t>Cable Tensioner for SI 8/10/12/15/18 Hydraulic Winches Narrow Drum</t>
  </si>
  <si>
    <t>Replacement Roller Fairlead for SI 8/10/12/15/18 Hydraulic Winches Narrow Drum; Tiger Shark 15000/18000 Winches</t>
  </si>
  <si>
    <t>Clevis Flag w/Logo 1 inch x 12 inch</t>
  </si>
  <si>
    <t>Accessory Roller Fairlead for SH1000 Narrow Drum Hoist</t>
  </si>
  <si>
    <t>For SI 8000. 10000, 12000 and 15000 Hydraulic Winches</t>
  </si>
  <si>
    <t>For SI 8000 and H8P Hydraulic Winches</t>
  </si>
  <si>
    <t>For SI 10000 and H10P Hydraulic Winches</t>
  </si>
  <si>
    <t>For SI 12000 and 15000 Hydraulic Winches</t>
  </si>
  <si>
    <t>Universal 36 in</t>
  </si>
  <si>
    <t>Universal 47.5 in</t>
  </si>
  <si>
    <t>Tundra CrewMax 2007-2021 (5.5 ft Bed)</t>
  </si>
  <si>
    <t>Silverado/Sierra 2007-2013 (5.5 ft Bed); Ram 1500 2009-2018 (5.5 ft Bed); Ram 1500 Classic 2019-2023 (5.5 ft Bed); F-150 2004-2025 (5.5 ft Bed) (Excl. 2004 Heritage &amp; 2022+ Lightning EV)</t>
  </si>
  <si>
    <t>Silverado/Sierra (6.5' Bed) 1993-2013; Ram 2500/3500 (6.5' Bed) 1994-2024; F-150 (6.5' Bed) 2015-2025 (Excl. 2022+ Lightning EV); Ranger (6.0' bed) 1998-2011; Ram 1500 (6.5' Bed) 1994-2018; Ram 1500 Classic (6.5' Bed) 2019-2023</t>
  </si>
  <si>
    <t>F-150 2004-2014 (6.5 ft Bed)(Excl. Heritage Edition); F-250/350/450/550 Super Duty 1999-2024 (6.75 ft Bed)</t>
  </si>
  <si>
    <t>Silverado/Sierra 1500 1999-2014 (8 ft Bed); 2500/3500 2001-2014 (8 ft Bed); Ram 1500/2500 1994-2024 (8 ft Bed); F-150 2004-2023 (8 ft Bed)(Excl. Heritage &amp; 2022+ Lightning EV); F-250/350/450/550HD Super Duty 1999-2025 (8 ft Bed); Tundra 2007-2021 (8 ft Bed)</t>
  </si>
  <si>
    <t>Tacoma 2024-2025 (5.2 ft Bed)</t>
  </si>
  <si>
    <t>F-150 2004-2014 (5.5 ft Bed)(Excl. Heritage)</t>
  </si>
  <si>
    <t>F-150 2004-2014 (6.5 ft Bed)(Excl. Heritage)</t>
  </si>
  <si>
    <t>F-250/350 Super Duty 1999-2016 (6.75ft bed)</t>
  </si>
  <si>
    <t>F-250/350 Super Duty 1999-2016 (8ft bed)</t>
  </si>
  <si>
    <t>Silverado/Sierra 1500 2007-2018; Silverado LD 2019; Sierra 1500 Limited 2019; 2500/3500 2007-2019 (6.5 ft Bed)(Excl. Classic)</t>
  </si>
  <si>
    <t>Silverado/Sierra 1500 2007-2018 (5.5 ft Bed)</t>
  </si>
  <si>
    <t>Silverado/Sierra 1500 2007-2018; Silverado LD 2019; Sierra 1500 Limited 2019; 2500/3500 2007-2019 (8 ft Bed)(Excl. Classic)</t>
  </si>
  <si>
    <t>Silverado/Sierra 1500/250/3500 1999-2006 (6.5 ft Bed)(Excl. 99-00 C/K); Silverado/Sierra 1500/2500/3500 Classic 2007</t>
  </si>
  <si>
    <t>Ram 1500 2002-2018; 1500 Classic 2019-2024; 2500/3500 2002-2018 (6.5 ft bed)</t>
  </si>
  <si>
    <t>Ram 1500 2009-2018; 1500 Classic 2019-2024 (5.5ft bed)</t>
  </si>
  <si>
    <t>Tacoma 2005-2023 (6 ft Bed)</t>
  </si>
  <si>
    <t>Tundra 2007-2021 (6.5 ft Bed)</t>
  </si>
  <si>
    <t>Tundra 2007-2021 (5.5 ft Bed)</t>
  </si>
  <si>
    <t>Tundra &amp; Double Cab 1999-2006 (6.5 ft Bed)</t>
  </si>
  <si>
    <t>Ram 1500 2003-2018; 1500 Classic 2019-2023 (8ft bed)</t>
  </si>
  <si>
    <t>Tacoma 2005-2023 (5 ft Bed)</t>
  </si>
  <si>
    <t>F-150 2015-2025 (5.5ft Bed)</t>
  </si>
  <si>
    <t>F-150 2015-2025 (6.5ft Bed)</t>
  </si>
  <si>
    <t>F-150 2015-2025 (8ft Bed)</t>
  </si>
  <si>
    <t>Colorado/Canyon 2015-2022 (5 ft. Bed)</t>
  </si>
  <si>
    <t>Colorado/Canyon 2015-2022 (6 ft. Bed)</t>
  </si>
  <si>
    <t>F-250/350 2017-2025 (6.5 ft Bed)</t>
  </si>
  <si>
    <t>F-250/350/450 2017-2025 (8 ft. Bed) 98.1 in. Bed</t>
  </si>
  <si>
    <t>Ram 1500 2019-2025 (5'7" Bed)(Excl. 2019-2023 Ram 1500 Classic)</t>
  </si>
  <si>
    <t>Ram 1500 2019-2025 (6.5' Bed)(Excl. 2019-2023 Ram 1500 Classic)</t>
  </si>
  <si>
    <t>2019-2023 Ranger SuperCrew (5 ft bed)</t>
  </si>
  <si>
    <t>Silverado/Sierra 1500 2019-2025 (5.75' Bed)</t>
  </si>
  <si>
    <t>Silverado/Sierra 1500 2019-2025 (6.5' Bed) (Excl. 2019 Silverado LD/Sierra 1500 Limited)</t>
  </si>
  <si>
    <t>Maverick 2022-2025</t>
  </si>
  <si>
    <t>F-150 2004-2014</t>
  </si>
  <si>
    <t>Chevy/GMC 1999-2006</t>
  </si>
  <si>
    <t>Silverado/Sierra 2007-2018</t>
  </si>
  <si>
    <t>Tundra 2007-2015</t>
  </si>
  <si>
    <t>Universal Mid Size; 54 in x 15 in</t>
  </si>
  <si>
    <t>1500 2019-2025 (Excl. 2019-2023 Ram 1500 Classic)</t>
  </si>
  <si>
    <t>Tacoma 2005-2023 (5ft Bed)</t>
  </si>
  <si>
    <t>Tacoma 2005-2023 (6ft Bed)</t>
  </si>
  <si>
    <t>Tacoma 2005-2025</t>
  </si>
  <si>
    <t>45" Length</t>
  </si>
  <si>
    <t>57" Length</t>
  </si>
  <si>
    <t>Tacoma Xtracab 2024-2025</t>
  </si>
  <si>
    <t>Silverado/Sierra 1500 Crew Cab 2007-2018 (Excl Classic); 2500/3500 Crew Cab 2007-2019 (Excl. 2007 Classic)</t>
  </si>
  <si>
    <t>Titan XD Crew Cab 2016-2024; Titan Crew Cab 2017-2024</t>
  </si>
  <si>
    <t>Wrangler JL 2dr 2018-2025</t>
  </si>
  <si>
    <t>Silverado/Sierra 1500 Crew Cab 2007-2018; 2500/3500 Crew Cab 2007-2019 (Excl. Classic)</t>
  </si>
  <si>
    <t>Silverado/Sierra 1500 2007-2018;Silverado/Sierra 2500/3500 Crew Cab 2007-2019 (Excl Classic)</t>
  </si>
  <si>
    <t>CyberTuck 2024-2025</t>
  </si>
  <si>
    <t>F-250/350 Crew Cab 2017-2022 (6.75' Bed)</t>
  </si>
  <si>
    <t>Ram 1500 Crew Cab 2009-2018 (5.5' Bed); 1500 Classic Crew Cab 2019-2024 (5.5' Bed)</t>
  </si>
  <si>
    <t>Ram 1500 Crew Cab 2009-2018 (6.5' Bed); 1500 Classic Crew Cab 2019-2024 (6.5' Bed); 2500/3500 Crew Cab 2010-2018 (6.5' Bed)</t>
  </si>
  <si>
    <t>Silverado/Sierra 1500 Crew Cab 2007-2018 (5.5' Bed) Excl. Classic</t>
  </si>
  <si>
    <t>Silverado/Sierra 1500 Double Cab 2014-2018 (6.5' Bed); Silverado LD/Sierra 1500 Limited Double Cab 2019 (6.5' Bed); 2500/3500 Double Cab 2015-2019 (6.5' Bed) &amp; Dually (8 ft Bed)</t>
  </si>
  <si>
    <t>2500/3500 Crew Cab 2019-2025 (6.5 ft Bed)</t>
  </si>
  <si>
    <t>2500/3500 Crew Cab 2010-2018 (8.0' Bed)(Excl. Dually)</t>
  </si>
  <si>
    <t>HDX Grille Guard Light Clamps Universal (Pak of 2)</t>
  </si>
  <si>
    <t>HDX Grille Guard LED Light Bracket for 20 or 30 inch LED Bar</t>
  </si>
  <si>
    <t>Includes 6 inch LED Lights (set of 2) w/wiring harness</t>
  </si>
  <si>
    <t>Includes 10 inch LED Lights (set of 2) w/wiring harness</t>
  </si>
  <si>
    <t>Silverado/Sierra 25/3500 Diesel 2017-2019</t>
  </si>
  <si>
    <t>Silverado 'Classic' 1500 2003-2007</t>
  </si>
  <si>
    <t>Silverado 'Classic' 1500HD/2500LD 2003-2007</t>
  </si>
  <si>
    <t>Ram 1500 2006-2008; 25/3500 2006-2009</t>
  </si>
  <si>
    <t>F-150 2004-2008</t>
  </si>
  <si>
    <t>Tundra 2007-2013</t>
  </si>
  <si>
    <t>Silverado 1500 2007-2013 (Excl. Classic)</t>
  </si>
  <si>
    <t>Sierra 1500 2007-2013</t>
  </si>
  <si>
    <t>Silverado 25/3500HD 2007-2010</t>
  </si>
  <si>
    <t>Sierra 25/3500HD 2007-2010</t>
  </si>
  <si>
    <t>F-250/350/450/550HD Super Duty 2008-2010</t>
  </si>
  <si>
    <t>F-250/350HD Super Duty 2011-2016</t>
  </si>
  <si>
    <t>Ram 1500 2009-2018; Ram 1500 Classic 2019-2024 (Excl. Rebel, Warlock &amp; TRX)(Excl. Sport/Express)</t>
  </si>
  <si>
    <t>Silverado 2500HD/3500 2011-2014</t>
  </si>
  <si>
    <t>Sierra 2500/3500 2011-2014 (Excl Denali)</t>
  </si>
  <si>
    <t>Silverado 1500 2014-2015</t>
  </si>
  <si>
    <t>Sierra 1500 2014-2015</t>
  </si>
  <si>
    <t>Tundra 2014-2021 (Excl. W/ Sensors)</t>
  </si>
  <si>
    <t>Tundra 2014-2021 (Excl. W/Sensors)</t>
  </si>
  <si>
    <t>Sierra 2500/3500 2015-2019</t>
  </si>
  <si>
    <t>4Runner Trail/SR5/TRD 2014-2024 (Excl. Limited, Nightshade &amp; TRD Sport)</t>
  </si>
  <si>
    <t>F-150 2015-2020 (Excl. Platinum &amp; 2017+ Raptor)(W/O Camera)</t>
  </si>
  <si>
    <t>Colorado 2015-2020 (Excl. ZR2)</t>
  </si>
  <si>
    <t>Titan XD 2016-2024</t>
  </si>
  <si>
    <t>Sierra 1500 2016-2018; Sierra 1500 Limited 2019</t>
  </si>
  <si>
    <t>F-150 2015-2020 (Excl. Platinum &amp; Raptor)(W/ Front Camera)</t>
  </si>
  <si>
    <t>F-250/350 2017-2022 w/Front Camera</t>
  </si>
  <si>
    <t>Silverado 1500 2019-2025 &amp; 1500 LTD 2022 (Excl. ZR2 &amp; 2019 LD)(Excl. W/ Sensors)</t>
  </si>
  <si>
    <t>Silverado 1500 2019-2021, 2023-2025 &amp; 1500 LTD 2022 (Excl. ZR2 &amp; 2019 LD)(Excl. W/ Sensors)</t>
  </si>
  <si>
    <t>Silverado 1500 2019-2021, 2023-2025 &amp; 1500 LTD 2022 (Excl. ZR2 &amp; 2019 LD) w/Front Sensors</t>
  </si>
  <si>
    <t>Sierra 1500 2019-2021; 1500 Limited 2022 (Excl. 2019 Limited)(Excl. Diesel)</t>
  </si>
  <si>
    <t>Silverado 2500/3500 2020-2025 (W/ Sensors)</t>
  </si>
  <si>
    <t>Transit 150/250/350 2015-2025 (Excl. 2022+ EV)</t>
  </si>
  <si>
    <t>F-150 2021-2025 w/oFront Camera (Excl. Raptor, Platinum &amp; 2022+ Lightning EV)</t>
  </si>
  <si>
    <t>F-150 2021-2023 w/Front Camera (Excl. Raptor, Platinum &amp; 2022+ Lightning EV)</t>
  </si>
  <si>
    <t>F-250/350/450/550/600 2023-2025</t>
  </si>
  <si>
    <t>Sierra 1500 2022-2025 (Excl. 2022 Old Body)(Excl. AT4X)</t>
  </si>
  <si>
    <t>F-250/350 Super Duty 2011-2016</t>
  </si>
  <si>
    <t>F-150 2009-2014 (Excl. w/Sensors)</t>
  </si>
  <si>
    <t>Ram 1500 2009-2018 (Excl. Rebel)(Excl. Express &amp; Sport)(Excl. W/Sensors) ; Ram 1500 Classic 2019-2024 (Excl. Rebel &amp; Warlock)(Excl. Express)(Excl. W/Sensors)</t>
  </si>
  <si>
    <t>Tundra 2014-2021 (Excl. W/ Sensorrs)</t>
  </si>
  <si>
    <t>Tundra 2014-2021 (Excl. w/Sensors)</t>
  </si>
  <si>
    <t>Silverado 2500/3500HD 2015-2019</t>
  </si>
  <si>
    <t>Sierra 2500/3500HD 2015-2019</t>
  </si>
  <si>
    <t>4Runner SR5/Trail/TRD 2014-2024 (Excl. Limited, Nightshade &amp; TRD Sport)</t>
  </si>
  <si>
    <t>F-150 2015-2020 (Excl. Platinum &amp; 2017+ Raptor)(W/O Front Camera)</t>
  </si>
  <si>
    <t>Silverado 1500 2016-2018; Silverado LD 2019 (Excl. w/Sensors)</t>
  </si>
  <si>
    <t>Tacoma 2016-2023 (Excl. w/Sensors)</t>
  </si>
  <si>
    <t>F-250/350 2017-2022 (Excl. Harley Davidson, Limited, &amp; Raptor)(Excl. w/Sensors)</t>
  </si>
  <si>
    <t>F-150 2015-2020 (Excl. Platinum &amp; 2017+ Raptor)(W/ Front Camera)</t>
  </si>
  <si>
    <t>F-250/350 2017-2022 (Excl. Harley Davidson, Limited &amp; Raptor)(w/Front Camera)</t>
  </si>
  <si>
    <t>Sierra 1500 2019-2021; 1500 Limited 2022 (Excl. 2019 Limited)(Excl. Diesel)(Excl. W/ Sensors)</t>
  </si>
  <si>
    <t>Sierra 1500 2019-2021; 1500 Limited 2022 (Excl. 2019 Limited)(Excl. Diesel)(Excl. w/Sensors)</t>
  </si>
  <si>
    <t>1500 2019-2024 (Excl. 1500 2019-2023 Classic)(Excl. Rebel, Warlock &amp; TRX)(Excl. ECO Diesel)</t>
  </si>
  <si>
    <t>Silverado 2500/3500 2020-2025 (Excl. w/ Sensors)</t>
  </si>
  <si>
    <t>Ram 2500/3500 2019-2024 (Excl. Power Wagon)(Excl. w/Sensors)</t>
  </si>
  <si>
    <t>Transit 150/250/350 2015-2025 (Excl. 2022+ EV)(W/O Front Sensor)</t>
  </si>
  <si>
    <t>F-150 2021-2025 w/o Front Camera (Excl. Platinum, Raptor &amp; 2022+ Lightning EV)</t>
  </si>
  <si>
    <t>F-150 2021-2025 w/Front Camera (Excl. Raptor, Platinum &amp; 2022+ Lightning EV)</t>
  </si>
  <si>
    <t>Sierra 1500 2022-2025 (Excl. 2022 Old Body)</t>
  </si>
  <si>
    <t>Ram 1500 Crew Cab 2009-2018; Ram 1500 Classic Crew Cab 2019-2024; 2500/3500 Crew Cab 2010-2025 (Excl Cab Chassis w/Def Tanks)</t>
  </si>
  <si>
    <t>Ram 1500 Crew Cab 2019-2025 (Excl. 2019-2023 1500 Classic)</t>
  </si>
  <si>
    <t>Ranger SuperCrew 2019-2024</t>
  </si>
  <si>
    <t>Gladiator 2020-2024</t>
  </si>
  <si>
    <t>H-Rack Oversized Box Bracket</t>
  </si>
  <si>
    <t>F-250/350 2008-2025; F-450/550HD 2008-2024; F-600 2020-2024</t>
  </si>
  <si>
    <t>Silverado/Sierra 1500 1999-2018; Silverado LD/Sierra 1500 Limited 2019; Silverado/Sierra 2500/3500 1999-2025; C/K Pickup 1500/2500/3500 1988-2000 (Excl 1988-1991 Crew Cab); F-150 2004-2025 (Excl. Heritage &amp; 2022+ Lightning EV); Tundra 2007-2021</t>
  </si>
  <si>
    <t>Silverado/Sierra 1500 1999-2018; Silverado LD/Sierra 1500 Limited 2019; Silverado/Sierra 2500/3500 1999-2025; C/K Pickup 1500/2500/3500 1988-2000 (Excl 1988-1991 Crew Cab); F-150 2004-2025 (Excl. 2004 Heritage &amp; 2022+ Lightning EV); Tundra 2007-2021</t>
  </si>
  <si>
    <t>Ram 1500 2002-2018; 1500 Classic 2019-2023; 2500/3500 2003-2025</t>
  </si>
  <si>
    <t>Silverado 1500 2007-2018 (Excl Classic); Silverado LD 2019; 2500/3500 2007-2019</t>
  </si>
  <si>
    <t>Silverado 1500 2007-2018 (Excl Classic); Silverado LD 2019; 2500/3500 2007-2019; Ram 1500 2009-2018; Ram 1500 Classic 2019-2023; 2500/3500 2009-2018; F150 2015-2024 (Excl. 2022+ Lightning EV); Tundra 2007-2021; Ram 1500 2019-2024</t>
  </si>
  <si>
    <t>Ram 1500 2009-2018; Ram 1500 Classic 2019-2024; 2500/3500 2009-2018 (Excl. 5.8ft Bed)</t>
  </si>
  <si>
    <t>Ram 1500 2009-2018; Ram 1500 Classic 2019-2023; 2500/3500 2009-2018</t>
  </si>
  <si>
    <t>F-150 2015-2025 (Excl. 2022+ Lightning EV)</t>
  </si>
  <si>
    <t>F150 2015-2020</t>
  </si>
  <si>
    <t>Super Duty 1999-2016</t>
  </si>
  <si>
    <t>F-250/F-350 1999-2024</t>
  </si>
  <si>
    <t>F250/F350 1999-2016</t>
  </si>
  <si>
    <t>F-250/350/450/550 Super Duty 2017-2025; F-600 2020-2025</t>
  </si>
  <si>
    <t>F-250/F-350 2017-2019-2024</t>
  </si>
  <si>
    <t>Tacoma 2005-2023</t>
  </si>
  <si>
    <t>Ram 1500 2019-2025 (Excl. 2019-2023 1500 Classic)</t>
  </si>
  <si>
    <t>Ram 1500 2019-2024 (Excl. 2019+ 1500 Classic)</t>
  </si>
  <si>
    <t>Silverado/Sierra 1500 2019-2025 (Excl. 2019 Silverado LD/Sierra 1500 Limited)</t>
  </si>
  <si>
    <t>Silverado/Sierra 1500 2019-2024 (Excl. 2019 Silverado LD/Sierra 1500 Limited); Silverado/Sierra 2500/3500 2020-2024</t>
  </si>
  <si>
    <t>Silverado/Sierra 1500 2019-2024 (Excl. 2019 Silverado LD/Sierra 1500 Limited)</t>
  </si>
  <si>
    <t>Silverado/Sierra 2500/3500 2020-2025</t>
  </si>
  <si>
    <t>Silverado/Sierra 2500/3500 2020-2024</t>
  </si>
  <si>
    <t>Accessory for HLR Truck Rack</t>
  </si>
  <si>
    <t>Ladder Rack (Single)</t>
  </si>
  <si>
    <t>Ladder Rack (Set of 2)</t>
  </si>
  <si>
    <t>F-250/350 2011-2016</t>
  </si>
  <si>
    <t>F-150/F-150 XL SSV 2009-2014</t>
  </si>
  <si>
    <t>Ram 1500 2009-2018; Ram 1500 Classic 2019-2023 (Excl. Rebel &amp; Warlock)</t>
  </si>
  <si>
    <t>F-150/F-150 XL SSV 2015-2020 (Excl. Raptor)</t>
  </si>
  <si>
    <t>F-250/350 2017-2019</t>
  </si>
  <si>
    <t>Silverado 1500 2019-2021, 2023-2025 &amp; 2022 1500 LTD (Excl. ZR2 &amp; 2019 LD)(Excl. Diesel)</t>
  </si>
  <si>
    <t>Silverado 1500 2019-2021, 2023-2024 (Excl. ZR2 &amp; 2019 LD)</t>
  </si>
  <si>
    <t>1500 2019-2025 (Excl. 1500 2019-2024 Classic)(Excl. Rebel, Warlock &amp; TRX)(Excl. ECO Diesel)</t>
  </si>
  <si>
    <t>1500 2019-2024 (Excl. 1500 Classic)(Excl. Rebel &amp; Warlock)</t>
  </si>
  <si>
    <t>Silverado 2500/3500 2020-2025 (Excl. W/ Sensors)</t>
  </si>
  <si>
    <t>F-250/350 2020-2022</t>
  </si>
  <si>
    <t>2500/3500 2019-2024</t>
  </si>
  <si>
    <t>Suburban/Tahoe 2022-2025</t>
  </si>
  <si>
    <t>F-150 2021-2025 (Excl. Platinum, Raptor &amp; 2022+ Lightning EV)(Excl. W/Sensors)</t>
  </si>
  <si>
    <t>F-150 2021 (Excl. Raptor)</t>
  </si>
  <si>
    <t>F-150 2018-2020 (Excl. EcoBoost)(Excl. Raptor)</t>
  </si>
  <si>
    <t>Silverado 1500 2019-2021, 1500 LTD 2022 (Excl. 2019 LD)(Excl. Diesel)</t>
  </si>
  <si>
    <t>Silverado 2500/3500 2011-2014</t>
  </si>
  <si>
    <t>Silverado 2500/3500 2020-2023</t>
  </si>
  <si>
    <t>Silverado 2500/3500 2024-2025</t>
  </si>
  <si>
    <t>Silverado/Sierra 2500-3500 2015-2019</t>
  </si>
  <si>
    <t>Ram 1500 2009-2018; 1500 Classic 2019-2024; 2500 2010-2018; 3500 2010-2018 (Excl. Dual Rear Wheel)</t>
  </si>
  <si>
    <t>Silverado/Sierra 1500 2019-2025 (Excl. 2019 LD/Limited); Silverado/Sierra 2500/3500 2020-2025</t>
  </si>
  <si>
    <t>2016-2018 Silverado 1500; 2019 Silverado LD</t>
  </si>
  <si>
    <t>1500 2009-2018; Ram 1500 Classic 2019-2024 (Excl. Rebel, Warlock &amp; TRX)</t>
  </si>
  <si>
    <t>Colorado 2015-2022 (Excl. ZR2)</t>
  </si>
  <si>
    <t>F-150 (Excl. Raptor) 2018-2020</t>
  </si>
  <si>
    <t>Silverado 1500 2019-2021 &amp; 1500 LTD 2022 (Excl. 2019 LD)</t>
  </si>
  <si>
    <t>F-150 2021-2023 (Excl. 2022+ Lightning EV &amp; Raptor)</t>
  </si>
  <si>
    <t>Silverado/Sierra 1500 Double Cab 2014-2018; Silverado LD/Sierra 1500 Limited Double Cab 2019; 2500/3500 Double Cab 2015-2019</t>
  </si>
  <si>
    <t>F-150 Raptor 2017-2020</t>
  </si>
  <si>
    <t>F-150 2015-2020 (Excl. 2018-2020 EcoBoost)</t>
  </si>
  <si>
    <t>Ram 1500 2013-2018; Ram 1500 Classic 2019-2024 (Excl. Rebel, Warlock &amp; TRX)</t>
  </si>
  <si>
    <t>Silverado/Sierra 1500 2019-2025 (Excl. 2019 Silverado LD/ Sierra 1500 Limited) (Accessory for Outlaw Rear Bumper Only)</t>
  </si>
  <si>
    <t>Round LED Light Kit for Outlaw Front Bumpers, includes 4 Round LED Auxiliary lights and 2 brackets.</t>
  </si>
  <si>
    <t>Square LED Light Kit for Outlaw Front Bumpers, includes 4 HyperQ LED lights and 2 brackets.</t>
  </si>
  <si>
    <t>Sprinter 2019-2025</t>
  </si>
  <si>
    <t>F-150 2018-2020 (Excl. Raptor)</t>
  </si>
  <si>
    <t>1500 2019-2024 (Excl. 1500 2019-2023 Classic)(Excl. Rebel &amp; Warlock)(Excl. Diesel)</t>
  </si>
  <si>
    <t>4Runner 2014-2024 (Excl. Limited &amp; Nightshade)</t>
  </si>
  <si>
    <t>Ram 2500/3500 2013-2018</t>
  </si>
  <si>
    <t>Silverado 1500 2019-2021 &amp; 1500 LTD 2022 (Excl. 2019 LD)(Excl. Diesel)</t>
  </si>
  <si>
    <t>Frontier 2022-2024 (W/ Intelligent Cruise Control)</t>
  </si>
  <si>
    <t>Silverado 1500 2023-2025</t>
  </si>
  <si>
    <t>Tacoma 2024-2025</t>
  </si>
  <si>
    <t>Cybertruck 2024-2025</t>
  </si>
  <si>
    <t>Silverado/Sierra 1500 2014-2018; Silverado LD/Sierra 1500 Limited 2019; Silverado/Sierra 2500/3500 2015-2019</t>
  </si>
  <si>
    <t>F-150 2015-2023 (Excl. Raptor)(Excl. 2022+ Lightning EV)</t>
  </si>
  <si>
    <t>Tundra 2014-2021 (Excl. Vehicles with Blind Spot Monitoring System)</t>
  </si>
  <si>
    <t>Tacoma 2016-2023 (Excl. Vehicles with Blind Spot Monitoring System)</t>
  </si>
  <si>
    <t>Colorado/Canyon 2015-2022; Colorado ZR2 2017-2022</t>
  </si>
  <si>
    <t>Ram 1500 2019-2024 (Excl. 2019-2023 1500 Classic)</t>
  </si>
  <si>
    <t>Gladiator 2020-2025; Wrangler JL 2018-2025</t>
  </si>
  <si>
    <t>Bronco 2021-2025 (Excl. Bronco Sport); Wrangler JL 2018-2025</t>
  </si>
  <si>
    <t>Wrangler JK 2007-2018 (Excludes JL)</t>
  </si>
  <si>
    <t>Wrangler JL 2018-2024 (Excl. JK)</t>
  </si>
  <si>
    <t>Wrangler JL 2018-2025 (w/Sensors)</t>
  </si>
  <si>
    <t>Wrangler JL 2018-2024 (Excl. JK)(W/Sensors)</t>
  </si>
  <si>
    <t>Gladiator 2020-2025 w/Sensors</t>
  </si>
  <si>
    <t>Wrangler JL (Excl. 2018 JK) 2018-2025</t>
  </si>
  <si>
    <t>Colorado 2015-2022</t>
  </si>
  <si>
    <t>Silverado 1500 2016-2018</t>
  </si>
  <si>
    <t>Silverado 1500 2019-2025 (Excl. 2019 Silverado LD)</t>
  </si>
  <si>
    <t>Ram 2009-2018 (Excl. Rebel &amp; Warlock); Ram 1500 Classic 2019-2024</t>
  </si>
  <si>
    <t>Tacoma 2005-2011</t>
  </si>
  <si>
    <t>Sierra 1500 2014-2018; Sierra 1500 Limited 2019; Sierra 2500/3500 2015-2019</t>
  </si>
  <si>
    <t>Silverado/Sierra 1500 Crew/Double Cab 2014-2018; Silverado/Sierra 2500/3500 2015-2019; Tahoe/Suburban/Yukon/Yukon Denali/Escalade 2015-2020</t>
  </si>
  <si>
    <t>Ram 1500 Crew Cab 2009-2018; 1500 Classic Crew Cab 2019-2023; 2500/3500 Crew/Mega Cab 2010-2025</t>
  </si>
  <si>
    <t>Ram 1500 Quad Cab 2009-2018; Ram 1500 Classic Quad Cab 2019-2023; Ram 2500/3500 Quad Cab 2010-2025</t>
  </si>
  <si>
    <t>Ram 1500 Quad Cab 2002-2009</t>
  </si>
  <si>
    <t>F-150 SuperCrew 2015-2025; F-250/350/450/550 Super Duty Crew Cab 2017-2025</t>
  </si>
  <si>
    <t>F-150 SuperCab 2015-2025; F-250/350/450/550 SuperDuty Super Cab 2017-2025</t>
  </si>
  <si>
    <t>Excursion 2000-2005</t>
  </si>
  <si>
    <t>Tahoe/Yukon/Yukon Denali 2007-2014</t>
  </si>
  <si>
    <t>Avalanche 2007-2013; Suburban/Yukon XL/Yukon Denali XL 2007-2014; Silverado/Sierra Crew Cab 2500/3500 2007-2014; Sierra/Silverado 1500 Crew Cab 2007-2013</t>
  </si>
  <si>
    <t>Silverado/Sierra 2500/3500 Extended Cab 2007-2014 Silverado/Sierra 1500 Extended Cab 2007-2013</t>
  </si>
  <si>
    <t>Silverado/Sierra 1500 Double Cab 2014-2019; Silverado LD Double Cab 2019; Sierra 1500 Limited Double Cab 2019; 2500/3500 Double Cab 2015-2018</t>
  </si>
  <si>
    <t>Colorado/Canyon Crew Cab 2015-2022</t>
  </si>
  <si>
    <t>Silverado/Sierra 1500 Crew Cab 2019-2025 (Excl. 2019 Silverado LD/Sierra 1500 Limited); Silverado/Sierra 2500/3500HD Crew Cab 2020-2025</t>
  </si>
  <si>
    <t>Escalade ESV/EXT/Avalance 2002-2006; Silverado/Sierra Classic Crew Cab 2007; Silverado/SierraSuburban/Yukon XL/Yukon Xl Denali 2000-2006; Denali XL 2001-2006</t>
  </si>
  <si>
    <t>Grand Cherokee 2011-2021</t>
  </si>
  <si>
    <t>Titan XD/Titan Crew Cab 2016-2024</t>
  </si>
  <si>
    <t>4Runner 2010-2022</t>
  </si>
  <si>
    <t>Tacoma Double Cab 2016-2023</t>
  </si>
  <si>
    <t>Silverado/Sierra 1500 Double Cab 2019-2022 (Excl. 2019 Silverado LD/Sierra 1500 Limited)</t>
  </si>
  <si>
    <t>3 Sedan 2004-2009</t>
  </si>
  <si>
    <t>Almn Conduit Carier 121.5in (w/install kit) Overall Dims: 121.5x11x6 In.; Approx. Cu Ft: 4.7 In.</t>
  </si>
  <si>
    <t>HD Top Sider 13in x 48in w/flip up Door Overall Dims: 48x13x16 In.; Approx. Cu Ft: 7.4 In.</t>
  </si>
  <si>
    <t>HD Top Sider 13in x 60in w/flip up Door Overall Dims: 60x13x16 In.; Approx. Cu Ft: 9.2 In.</t>
  </si>
  <si>
    <t>HD Top Sider 13in x 72in w/flip up Door Overall Dims: 72x13x16 In.; Approx. Cu Ft: 10.9 In.</t>
  </si>
  <si>
    <t>High Cap HD Top Sdr 16in x 72in w/flip up Door Overall Dims: 72x16x18 In.; Approx. Cu Ft: 14.7 In.</t>
  </si>
  <si>
    <t>HD Top Sider 13in x 88in w/flip up Doors Overall Dims: 88x13x16 In.; Approx. Cu Ft: 13.3 In.</t>
  </si>
  <si>
    <t>High Cap HD Top Sdr 16in x 88in w/flip up Doors Overall Dims: 88x16x18 In.; Approx. Cu Ft: 17.8 In.</t>
  </si>
  <si>
    <t>HD Top Sider 13in x 96in w/flip up Doors Overall Dims: 96x13x16 In.; Approx. Cu Ft: 14.5 In.</t>
  </si>
  <si>
    <t>High Cap HD Top Sdr 16in x 96in w/flip up Doors Overall Dims: 96x16x18 In.; Approx. Cu Ft: 19.4 In.</t>
  </si>
  <si>
    <t>HD Under Body 18in x 36in Drop Down Door Overall Dims: 48x18x18 In.; Approx. Cu Ft: 11 In.</t>
  </si>
  <si>
    <t>V Shape Goose Neck 5th Wheel 57in Tailgate Box 1 Drawer/2 Swing Doors Overall Dims: 57x19x19 In.; Approx. Cu Ft: 8.1 In.</t>
  </si>
  <si>
    <t>49" Commercial Class; Overall Dims: 45x15x19 In.; Approx. Cu Ft: 7</t>
  </si>
  <si>
    <t>High Cap 72in Stake Bed Contractor TopSider w/ Doors Overall Dims: 72x20x24 In.; Approx. Cu Ft: 20 In.</t>
  </si>
  <si>
    <t>High Cap 72in Stake Bed Contractor TopSider w/ Base Drawers Overall Dims: 72x20x24 In.; Approx. Cu Ft: 20 In.</t>
  </si>
  <si>
    <t>High Cap 96in Stake Bed Contractor TopSider w/ Doors Overall Dims: 96x20x24 In.; Approx. Cu Ft: 26.7 In.</t>
  </si>
  <si>
    <t>High Cap 96in Stake Bed Contractor TopSider w/ Base Drawers Overall Dims: 96x20x24 In.; Approx. Cu Ft: 26.7 In.</t>
  </si>
  <si>
    <t>Contractor TopSider 48in w/ Doors Overall Dims: 48x13.5x21 In.; Approx. Cu Ft: 7.9 In.</t>
  </si>
  <si>
    <t>Contractor TopSider 48in w/ Drawers &amp; Doors Overall Dims: 48x13.5x21 In.; Approx. Cu Ft: 7.9 In.</t>
  </si>
  <si>
    <t>Contractor TopSider 60in w/ Doors Overall Dims: 60x13.5x21 In.; Approx. Cu Ft: 10.2 In.</t>
  </si>
  <si>
    <t>Contractor TopSider 60in w/ Drawers &amp; Doors Overall Dims: 60x13.5x21 In.; Approx. Cu Ft: 10.2 In.</t>
  </si>
  <si>
    <t>Contractor TopSider 72in w/ Doors Overall Dims: 72x13.5x21 In.; Approx. Cu Ft: 13.5 In.</t>
  </si>
  <si>
    <t>Contractor TopSider 72in w/ Drawers &amp; Doors Overall Dims: 72x13.5x21 In.; Approx. Cu Ft: 13.5 In.</t>
  </si>
  <si>
    <t>Contractor TopSider 88in w/ Doors Overall Dims: 88x13.5x21 In.; Approx. Cu Ft: 14.4 In.</t>
  </si>
  <si>
    <t>Contractor TopSider 88in w/ Drawers &amp; Doors Overall Dims: 88x13.5x21 In.; Approx. Cu Ft: 14.4 In.</t>
  </si>
  <si>
    <t>Contractor TopSider 90in w/ Doors Overall Dims: 90x13.5x21 In.; Approx. Cu Ft: 14.8 In.</t>
  </si>
  <si>
    <t>Contractor TopSider 90in w/ Drawers &amp; Doors Overall Dims: 90x13.5x21 In.; Approx. Cu Ft: 14.8 In.</t>
  </si>
  <si>
    <t>Contractor TopSider 96in w/ Doors Overall Dims: 96x13.5x21 In.; Approx. Cu Ft: 15.8 In.</t>
  </si>
  <si>
    <t>Contractor TopSider 96in w/ Drawers &amp; Doors Overall Dims: 96x13.5x21 In.; Approx. Cu Ft: 15.8 In.</t>
  </si>
  <si>
    <t>UnderBody 36in x 20in w/ Top Drawer Overall Dims: 36x18x20 In.; Approx. Cu Ft: 7.5 In.</t>
  </si>
  <si>
    <t>UnderBody 48in x 20in w/ Top Drawer Overall Dims: 48x18x20 In.; Approx. Cu Ft: 10 In.</t>
  </si>
  <si>
    <t>Full Lid Mid Size / Down Size XOver Long Bed Only Overall Dims: 62x20x18 In.; Base Dims: 51x20x11 In.; Approx. Cu Ft: 12.9 In.</t>
  </si>
  <si>
    <t>Pork Chop Pass Side 46in Overall Dims: 46.25x9.25x19 In.; Approx. Cu Ft: 4.7 In.</t>
  </si>
  <si>
    <t>Maximus 30in Chest Overall Dims: 48x30x30 In.; Base Dims: 48x28x17 In.; Approx. Cu Ft: 25 In.</t>
  </si>
  <si>
    <t>Chest 47in Overall Dims: 47x20x19 In.; Base Dims: 47x16x19 In.; Approx. Cu Ft: 10.3 In.</t>
  </si>
  <si>
    <t>BRTBX Drawer Divider for 80-TBS200-BD Series (1PC)</t>
  </si>
  <si>
    <t>Tool Box divider for 80-UB-TD Series (1PC)</t>
  </si>
  <si>
    <t>BRTBX Drawer Divider for for 80-TB400-BD Series (1PC)</t>
  </si>
  <si>
    <t>LosiderSafe w/Rear Bedsafe Roller Drawer; Driver Side; Overall Dims: 56x11.5x15.5 In.; Approx. Cu Ft: 5.78</t>
  </si>
  <si>
    <t>LosiderSafe w/Rear Bedsafe Roller Drawer; Passenger Side; Overall Dims: 70x11.5x15.5 In.; Approx. Cu Ft: 7.22</t>
  </si>
  <si>
    <t>19"L x 3.5"H x 15"W Tray w/ 4 silver dividers. Fits tool boxes: 80-RB121LP, 80-RB121LP-B, 80-RB123FL, 80-RB123FL-B, 80-RB127FL, 80-RB127FL-B, 80-RB137FL, 80-RB137FL-B, 80-RB154FL, 80-RB154FL-B, 80-RB124GW, 80-RB124GW-B, 80-RB134GW, 80-RB134GW-B, 80-RB153GW, 80-RB153GW-B, 80-RB157GW, 80-RB157GW-B</t>
  </si>
  <si>
    <t>9" x 15" tray w/ 4 silver aluminum dividers. Fits tool boxes 80-RB184, 80-RB174, 80-RB172 &amp; 80-RB164.</t>
  </si>
  <si>
    <t>Fleet Side Reg/Ext Cab 1973-1987; C/K Fleet Side Crew Cab 1973-1991; Fleet Side 1967-1972 Long Bed; Fleet Side 1972-1993; Ram Charger 1978-1985; Bronco 1978-1996; F-Series Style Side 1967-1996; F-250/350 HD 1997-1998 (Excl. F-250 LD 1997-1998)</t>
  </si>
  <si>
    <t>C/K-Series 1988-2000; Ram 1500 1994.5-2001 (Excl. model w/ tailgate light); Ram 2500/3500 1994-2002 (Excl. model w/ tailgate light)</t>
  </si>
  <si>
    <t>Van 1992-2012 Full Size (will not work with factory hitch)</t>
  </si>
  <si>
    <t>Van 1992-2012 Full Size (Excl. factory hitch)</t>
  </si>
  <si>
    <t>D50 Pickup 1983-1993; Pickup 1983-1997; Toyota Pickup 1980-1988</t>
  </si>
  <si>
    <t>Dakota 1987-2004 (Excl. Quad Cab); Comanche 1987-1992</t>
  </si>
  <si>
    <t>Pickup 1986-1993</t>
  </si>
  <si>
    <t>S-Series 1983-2004 (Equipment Group &amp; Sport Package Only); Ranger 1982-2004 (Excl. Splash); Hombre 1996-2004; Nissan Pickup 1986.5-1997; Tacoma 1995-1999; Toyota Pickup 1980-1994; Van 1992-2007 Full size (will not work with factory hitch)</t>
  </si>
  <si>
    <t>S-Series 1983-2004 (Equipment Group &amp; Sport Package Only); Ranger 1982-2004 (Excl. Splash); Hombre 1996-2004; Pickup 1986-2004; Nissan Pickup 1986.5-2004 (Excl. Frontier); Tacoma 1995-1999; Toyota Pickup 1980-1994; S-Series Blazer/Jimmy 1983-1986</t>
  </si>
  <si>
    <t>S-Series 1983-2004; Ranger 1982-2004 (Excl. Splash); Hombre 1996-2004; Pickup 1986-2004; Nissan Pickup 1986.5-2004 (Excl. Frontier); Tacoma 1995-1999; Toyota Pickup 1980-1994</t>
  </si>
  <si>
    <t>C/K-Series Pickup 1973-1991</t>
  </si>
  <si>
    <t>C/K-Series Pickup 1988-1998</t>
  </si>
  <si>
    <t>C/K-Series 1988-2000; Fleet Side Reg/Ext Cab 1973-1987; C/K Fleet Side Crew Cab 1973-1991; Fleet Side 1972-1993; F Series Style Side 1967-1996; F-250/350HD 1997-1998 (Excl 250LD)</t>
  </si>
  <si>
    <t>Ram 1500 1994.5-2001 (Excl. model w/ tailgate light); Ram 2500/3500 (Excl. model w/ tailgate light)1994-2002</t>
  </si>
  <si>
    <t>F-150/250 LD 1967-1996; F250 HD/350 1967-1998</t>
  </si>
  <si>
    <t>Fleet Side 1967-1972 Long Bed</t>
  </si>
  <si>
    <t>Pickup 1989-1994</t>
  </si>
  <si>
    <t>Tacoma 1995-1999</t>
  </si>
  <si>
    <t>Dakota 1997-2004 (Excl. Quad Cab)</t>
  </si>
  <si>
    <t>D50 Pickup 1983-1986; Mitsubishi Pickup 1983-1986; Pickup 1980-1988</t>
  </si>
  <si>
    <t>Pickup 1986.5-2004 (Excl. Frontier)</t>
  </si>
  <si>
    <t>D50 Pickup 1987-1993; Mitsubishi Pickup 1987-1997</t>
  </si>
  <si>
    <t>Bronco 1978-1996</t>
  </si>
  <si>
    <t>S-Series 1983-2004 (Equipment Group &amp; Sport Package Only); Ranger 1982-2004 (Excl. Splash); Mazda Pickup 1994-2004</t>
  </si>
  <si>
    <t>Dakota 1987-1996</t>
  </si>
  <si>
    <t>Comanche 1987-1992</t>
  </si>
  <si>
    <t>C/K PickUp 1988-1998; C/K PickUp (W/Old Body Style) 1999-2000</t>
  </si>
  <si>
    <t>Silverado/Sierra 1500LD/2500LD 'Classic' 1999-2007 (Fleet Side only)</t>
  </si>
  <si>
    <t>Tacoma 1995-2004</t>
  </si>
  <si>
    <t>Step Pads L &amp; R for Surestep FullSize fits PN# 20022 &amp; 21002</t>
  </si>
  <si>
    <t>Step Pads, FullSize Fits: 20003, 21003, 68100, 69100</t>
  </si>
  <si>
    <t>Step Pads - Surestep, downSize. Fits: #66001, 76001</t>
  </si>
  <si>
    <t>Step Pads L &amp; R for Surestep Deluxe XLT fits PN# 20007 &amp; 21007</t>
  </si>
  <si>
    <t>Step Pads - Surestep downSize. Fits: 71001</t>
  </si>
  <si>
    <t>Step Pads - Perfect Match. Fits #31000, 31001, 32000</t>
  </si>
  <si>
    <t>Light Kit - For all Universal &amp; PM: 31000, 31001 &amp; 32000</t>
  </si>
  <si>
    <t>Light Kit - PM: 31002, 31003, 31004 &amp; 32003</t>
  </si>
  <si>
    <t>Light Kit - PM: 31006, 32006, 31013, 32013, 31014 &amp; 32014</t>
  </si>
  <si>
    <t>Dakota 1997-2004 (For 31012 &amp; 32012 Bumper)</t>
  </si>
  <si>
    <t>Replacement magnetic switch (2 pcs)</t>
  </si>
  <si>
    <t>Front driver tuber fender light replacement for 62-1025</t>
  </si>
  <si>
    <t>Front passenger tuber fender light replacement for 62-1025</t>
  </si>
  <si>
    <t>Replacement Service Kit with 24in pad</t>
  </si>
  <si>
    <t>Replacement Service Kit with 24in pad (6 stud)</t>
  </si>
  <si>
    <t>Replacement Service Kit with 24in pad (5 stud)</t>
  </si>
  <si>
    <t>Replacement Service Kit with 14in pad</t>
  </si>
  <si>
    <t>Replacement Service Kit with 26in pad</t>
  </si>
  <si>
    <t>Replacement Service Kit with 18in pad</t>
  </si>
  <si>
    <t>Oval 4 in Tube Step End Cap Kit</t>
  </si>
  <si>
    <t>Replacement Service Kit with 33in pad</t>
  </si>
  <si>
    <t>Front &amp; Rear End Cap Kit w/screws and retainer sleeves</t>
  </si>
  <si>
    <t>Replacement Service Kit with 21in pad</t>
  </si>
  <si>
    <t>Replacement Service Kit with 20in pad</t>
  </si>
  <si>
    <t>Replacement Service Kit with 30.5in pad</t>
  </si>
  <si>
    <t>Replacement Service Kit with 20.5in pad</t>
  </si>
  <si>
    <t>Driver Front &amp; Passenger Rear (set of 2)</t>
  </si>
  <si>
    <t>Replacement Service Kit with 31.5in pad</t>
  </si>
  <si>
    <t>Replacement Service Kit with 22in pad</t>
  </si>
  <si>
    <t>Includes front and rear end cap with fasteners</t>
  </si>
  <si>
    <t>Sportsman Grille Guard Rubber Strip Repl</t>
  </si>
  <si>
    <t>6" Step Plate w/screws (Set of 2)</t>
  </si>
  <si>
    <t>Replacement service kit includes two 15.5 inch die stamped step pads and fasteners</t>
  </si>
  <si>
    <t>11" Step Plate w/screws (Set of 2)</t>
  </si>
  <si>
    <t>15" Step Plate w/screws (Set of 2)</t>
  </si>
  <si>
    <t>Replacement service kit includes two 11 inch die stamped step pads and fasteners</t>
  </si>
  <si>
    <t>6" step pad w/fasteners (Set of 2)</t>
  </si>
  <si>
    <t>Replacement service kit includes 17.75 inch step pad and fasteners</t>
  </si>
  <si>
    <t>HDX Grille Guard Rubber Strip Repl</t>
  </si>
  <si>
    <t>End Cap - 3 inch E-Series Step Bar</t>
  </si>
  <si>
    <t>Plastic End Cap 3 inch (1 piece)</t>
  </si>
  <si>
    <t>Replacement molding 52 inches long, set of 2 (for MN mfg grille guards only)</t>
  </si>
  <si>
    <t>Sure-Grip End Cap Fits Passenger Front or Driver Rear (1pc)</t>
  </si>
  <si>
    <t>Sure-Grip End Cap Fits Driver Front or Passenger Rear (1pc)</t>
  </si>
  <si>
    <t>Large bracket cover replacement for Pro Traxx steps</t>
  </si>
  <si>
    <t>Small bracket cover replacement for Pro Traxx steps</t>
  </si>
  <si>
    <t>Locking Compression Handle for HD Brute Box, includes 4 RV3 Rivets</t>
  </si>
  <si>
    <t>Aerosol 4.5 oz.</t>
  </si>
  <si>
    <t>Brush Cap Bottle .6 oz.</t>
  </si>
  <si>
    <t>MD Oval Pro Traxx 4 (includes hardware for 55476 display)</t>
  </si>
  <si>
    <t>MD Oval Pro Traxx 5</t>
  </si>
  <si>
    <t>MD Pro Traxx 6 Display</t>
  </si>
  <si>
    <t>E-Series Step Display</t>
  </si>
  <si>
    <t>40 inch display sample</t>
  </si>
  <si>
    <t>Sure-Grip Board Display</t>
  </si>
  <si>
    <t>Grate Steps Display</t>
  </si>
  <si>
    <t>Outlaw Running Boards Display</t>
  </si>
  <si>
    <t>50 inch display sample</t>
  </si>
  <si>
    <t>Pro-E Running Board Display</t>
  </si>
  <si>
    <t>Westin Banner</t>
  </si>
  <si>
    <t>MD Bull Bar Mount Bracket</t>
  </si>
  <si>
    <t>6 ft W x 2.5ft H (limit 1 per location)</t>
  </si>
  <si>
    <t>LED Light Merchandising Display Case</t>
  </si>
  <si>
    <t>LED Counter Display w/EF2 Light</t>
  </si>
  <si>
    <t>MD Header Step Up Tower</t>
  </si>
  <si>
    <t>Header Card</t>
  </si>
  <si>
    <t>Step-Up Tower Display</t>
  </si>
  <si>
    <t>Includes: 55470 Step Up Tower Display; 55411 Header Card (12" x 36"); 21-52400 Oval Pro Traxx 4; 21-55400 Oval Pro Traxx 5; 28-55400 R5 Nerf Step Bar SS; 28-75405 R7 Nerf Step Bar BL; 56-25405 HDX Xtreme Step BLK; 56-15405 HDX Drop Step BLK</t>
  </si>
  <si>
    <t>Wind Deflector Sample</t>
  </si>
  <si>
    <t>HDX Grille Guard &amp; Running Board Display Stand</t>
  </si>
  <si>
    <t>MD 3 Winch Display Stand w/Header Card</t>
  </si>
  <si>
    <t>Wade Sure-Fit Mat Display Kit</t>
  </si>
  <si>
    <t>Westin Dynamic Display</t>
  </si>
  <si>
    <t>40 inch Sample</t>
  </si>
  <si>
    <t>Superwinch 2019 Product Catalog</t>
  </si>
  <si>
    <t>Superwinch Mini Catalog 2025</t>
  </si>
  <si>
    <t>Superwinch Logo T-Shirt Size Large</t>
  </si>
  <si>
    <t>Superwinch Logo T-Shirt Size Medium</t>
  </si>
  <si>
    <t>Superwinch Logo T-Shirt Size Small</t>
  </si>
  <si>
    <t>Superwinch Logo T-Shirt Size XL</t>
  </si>
  <si>
    <t>Superwinch Logo T-Shirt Size XXL</t>
  </si>
  <si>
    <t>Superwinch Logo T-Shirt Size XXXL</t>
  </si>
  <si>
    <t>Gatefold Brochure</t>
  </si>
  <si>
    <t>Half Page Catalog</t>
  </si>
  <si>
    <t>App Guide Westin 2020</t>
  </si>
  <si>
    <t>Westin Mini Catalog 2025</t>
  </si>
  <si>
    <t>Catalog - Public Safety</t>
  </si>
  <si>
    <t>Westin Public Safety Hat Gray</t>
  </si>
  <si>
    <t>Westin Public Safety Hat Navy</t>
  </si>
  <si>
    <t>2024 New Products Guide</t>
  </si>
  <si>
    <t>Westin Logo T-Shirt Size Large</t>
  </si>
  <si>
    <t>Westin Logo T-Shirt Size Medium</t>
  </si>
  <si>
    <t>Westin Logo T-Shirt Size Small</t>
  </si>
  <si>
    <t>Westin Logo T-Shirt Size XL</t>
  </si>
  <si>
    <t>Westin Logo T-Shirt Size XXL</t>
  </si>
  <si>
    <t>Westin Logo T-Shirt Size XXXL</t>
  </si>
  <si>
    <t>Steel enclosure for DDS MSLATE terminal w/ Mount for door opening mechanism</t>
  </si>
  <si>
    <t>Small Device Mount w/ "Clamp-It" Ball Joint w/ 85 inclined shaft &amp; 10" Telescopic Square Post w/ Side Bars Base (Includes VECTOR 9000 MDT Plate)</t>
  </si>
  <si>
    <t>"L" Base 1/4 by 3x5x6 (Designed to Host part # SD-124)</t>
  </si>
  <si>
    <t>Ball w/ Square Base w/ 2x2" hole pattern</t>
  </si>
  <si>
    <t>Ball w/ 1/4-20 Threaded Hole</t>
  </si>
  <si>
    <t>MDT Multi-Plate (Specify Model of MDT)</t>
  </si>
  <si>
    <t>MDT Multi-Plate 2.5x5.5" (Specify Model of MDT) &amp; Aluminum Shaft w/ 1/4-20 Thread</t>
  </si>
  <si>
    <t>MDT Multi-Plate 2.5x5.5" (Specify Model of MDT) w/ Ball w/ Square Base</t>
  </si>
  <si>
    <t>MDT Multi-Plate 2.5x5.5"</t>
  </si>
  <si>
    <t>MDT Plate for Vector 800 &amp; Ball w/ 1/4-20 Threaded Hole</t>
  </si>
  <si>
    <t>Star Knob Male (1/4-20" thread, 3/4" long)</t>
  </si>
  <si>
    <t>T Knob Female (1/4-20" thread)</t>
  </si>
  <si>
    <t>Small Device Mount w/ Ball Joint &amp; 2.5x2.5" Square Base</t>
  </si>
  <si>
    <t>Small Device Mount w/ Ball Joint &amp; 1.5x3" Right Angle Base</t>
  </si>
  <si>
    <t>Small Device Mount w/ Double Ball Joint &amp; 2.5x2.5" Square Base</t>
  </si>
  <si>
    <t>Tamper Resistant Small Device Mount w/ Dual Ball Clamps on Square Base</t>
  </si>
  <si>
    <t>Small Device Mount w/ Ball Joint &amp; Round Aluminum Shaft w/ 3/8-16 Bolt</t>
  </si>
  <si>
    <t>Small Device Mount w/ Ball Joint &amp; 1x3" Rectangular Base</t>
  </si>
  <si>
    <t>Tamper Resistant Small Device Mount on Square Base</t>
  </si>
  <si>
    <t>Small Device Mount w/ Ball Joint &amp; "U" Bolts Base for 1.25" H&amp;rail</t>
  </si>
  <si>
    <t>Small Device Mount w/ Ball Joint &amp; 45 inclined shaft on 3x5" Mounting Base</t>
  </si>
  <si>
    <t>Small Device Mount w/ Ball Joint &amp; 45 Inclined Shaft on Telescopic Square Post w/ Slotted Base</t>
  </si>
  <si>
    <t>Small Device Mount w/ Ball Joint &amp; 85 inclined shaft on 7" Telescopic Square Post w/ Base Plate to Slide Under the Taxi Meter</t>
  </si>
  <si>
    <t>Small Device Mount w/ Ball Joint &amp; 85 inclined shaft w/ Cup Holder Base</t>
  </si>
  <si>
    <t>Small Device Mount w/ Ball Joint &amp; Telescopic Square Post on Base w/ Adjustable Angle &amp; Two Adjustable Supports</t>
  </si>
  <si>
    <t>Small Device Mount w/ Ball Joint &amp; 85 inclined shaft w/ 10" Telescopic Square Post on Under the Seat Bolt Base (Attaches to the front left vertical anchor bolt of the front passenger seat)</t>
  </si>
  <si>
    <t>Small Device Mount w/ Ball Joint &amp; 45 inclined shaft &amp; 5" Telescopic Square Post w/ 4x6" Base Plate</t>
  </si>
  <si>
    <t>Small Device Mount w/ Ball Joint &amp; 10" Telescopic Square Post w/ 6x6" Base Plate</t>
  </si>
  <si>
    <t>Small Device Mount w/ Ball Joint &amp; 45 inclined shaft &amp; Telescopic Aluminum Post w/ Side of Console &amp; Floor Adjustable Mounting Plates</t>
  </si>
  <si>
    <t>Small Device Mount w/ Ball Joint &amp; 45 inclined shaft w/ 10" Telescopic Square Post &amp; Adjustable Base to mount Under the Seat Bolts</t>
  </si>
  <si>
    <t>Small Device Mount with Ball Joint. 2.5" square plate and start knob</t>
  </si>
  <si>
    <t>Charger Pursuit 2011-2023</t>
  </si>
  <si>
    <t>F-150 Police Responder 2018-2025</t>
  </si>
  <si>
    <t>Tahoe 2021-2025 Police Pursuit Vehicle</t>
  </si>
  <si>
    <t>Durango 2021-2025</t>
  </si>
  <si>
    <t>Police Interceptor Utility 2020-2025</t>
  </si>
  <si>
    <t>2021-2025 Tahoe Police Pursuit Vehicle</t>
  </si>
  <si>
    <t>Tahoe Police Pursuit Vehicle 2021-2025</t>
  </si>
  <si>
    <t>Police Interceptor Utility 2011-2019</t>
  </si>
  <si>
    <t>Tahoe PPV 2015-2020</t>
  </si>
  <si>
    <t>2023-2025 Silverado PPV</t>
  </si>
  <si>
    <t>Silverado PPV 2023-2025</t>
  </si>
  <si>
    <t>F-150 Police Responder 2018-2020</t>
  </si>
  <si>
    <t>F-150 2021-2025</t>
  </si>
  <si>
    <t>Tahoe PPV 2021-2025</t>
  </si>
  <si>
    <t>Police Interceptor Utility 2012-2015</t>
  </si>
  <si>
    <t>Accessory for 36-2005 &amp; 36-2055 Push Bumper Elite 2012-2019 Police Interceptor Utility</t>
  </si>
  <si>
    <t>Police Interceptor Sedan 2013-2019</t>
  </si>
  <si>
    <t>Accessory for 36-2035 Push Bumper Elite 2011-2024 Charger Pursuit Accessory for 36-4195 Push Bumper Elite 2024 - 2025 Ford Mustang GT</t>
  </si>
  <si>
    <t>Caprice PPV 2012-2017</t>
  </si>
  <si>
    <t>Police Interceptor Utility 2016-2019</t>
  </si>
  <si>
    <t>Accessory for 36-2125 Push Bumper Elite 2020-2025 Police Interceptor Utility</t>
  </si>
  <si>
    <t>Tahoe 2021-2024 Police Pursuit Vehicle</t>
  </si>
  <si>
    <t>Accessory for 36-4045 Push Bumper Elite 2021-2025 Tahoe PPV</t>
  </si>
  <si>
    <t>Durango 2020</t>
  </si>
  <si>
    <t>Accessory for 36-4075 Push Bumper Elite 2021-2025 Dodge Durango</t>
  </si>
  <si>
    <t>2024-2025 Blazer EV Police Pursuit Vehicle</t>
  </si>
  <si>
    <t>2024-2025 Blazer Police Pursuit Vehicle</t>
  </si>
  <si>
    <t>Accessory for 36-4185 Push Bumper Elite 2024-2025 Blazer EV PPV</t>
  </si>
  <si>
    <t>F-150 Police Responder 2015-2020</t>
  </si>
  <si>
    <t>F-150 2015-2025</t>
  </si>
  <si>
    <t>Accessory for 36-52065 Push Bumper EliteXD F-150/F150 Police Responder/F-150 XL SSV 2015-2025</t>
  </si>
  <si>
    <t>Silverado PPV 2023-2025; Tahoe PPV 2025</t>
  </si>
  <si>
    <t>Accessory for 36-2135 Push Bumper 2023-2025 Silverado PPV</t>
  </si>
  <si>
    <t>Ram 1500 2013-2018; Ram 1500 Classic 2019-2023</t>
  </si>
  <si>
    <t>Accessory for 36-53805 Push Bumper 2015-2020 Tahoe/Surburban (Excl. Surburban 2500HD/3500HD)</t>
  </si>
  <si>
    <t>Silverado 1500 2019-2021 (Excl. 2019 LD) &amp; 1500 LTD 2022 (Excl. New Body Style)</t>
  </si>
  <si>
    <t>F-150 2021-2025 (Excl. F150 Lightning EV)</t>
  </si>
  <si>
    <t>2021-2025 F-150</t>
  </si>
  <si>
    <t>F-150 2021-2023</t>
  </si>
  <si>
    <t>"For use with Light Channels 36-6005F2MP, 36-6005F4MP, 36-6015F2MP, and 36-6015F4MP"</t>
  </si>
  <si>
    <t>Caprice PPV 2012-2017; Charger Prusuit 2011-2023; Durango 2020-2025; Police Intercept Sedan 2013-2019; Police Intercept Utility 2012-2025 (Push Bumper Light Channel 23.5 inch Solid)</t>
  </si>
  <si>
    <t>Caprice PPV 2012-2017; Charger Prusuit 2011-2023; Durango 2020-2025; Police Intercept Sedan 2013-2019; Police Intercept Utility 2012-2025 (Push Bumper Light Channel 23.5 inch Code 3, 2 Hole for Chase Lights)</t>
  </si>
  <si>
    <t>Caprice PPV 2012-2017; Charger Prusuit 2011-2023; Durango 2020-2025; Police Intercept Sedan 2013-2019; Police Intercept Utility 2012-2025 (Push Bumper Light Channel 23.5 inch Code 3, 3 Hole for Chase Lights)</t>
  </si>
  <si>
    <t>Caprice PPV 2012-2017; Charger Pursuit 2011-2023; Durango 2020-2025; Police Intercept Sedan 2013-2019; Police Intercept Utility 2012-2025; Code 3 Megaflex Light.</t>
  </si>
  <si>
    <t>Caprice PPV 2012-2017; Charger Prusuit 2011-2023; Durango 2020-2025; Police Intercept Sedan 2013-2019; Police Intercept Utility 2012-2025 (Push Bumper Light Channel 23.5 inch Federel Signal Micropulse Light, 2 Hole)</t>
  </si>
  <si>
    <t>Caprice PPV 2012-2017; Charger Prusuit 2011-2023; Durango 2020-2025; Police Intercept Sedan 2013-2019; Police Intercept Utility 2012-2025 (Push Bumper Light Channel 23.5 inch Federal Signal, 4 Hole)</t>
  </si>
  <si>
    <t>Caprice PPV 2012-2017; Charger Prusuit 2011-2023; Durango 2020-2025; Police Intercept Sedan 2013-2019; Police Intercept Utility 2012-2025 (Push Bumper Light Channel 23.5 inch Federel Signal Micropulse Light, 4 Hole)</t>
  </si>
  <si>
    <t>Caprice PPV 2012-2017; Charger Prusuit 2011-2023; Durango 2020-2025; Police Intercept Sedan 2013-2019; Police Intercept Utility 2012-2025 (Push Bumper Light Channel 23.5 inch Soundoff, 2 Hole)</t>
  </si>
  <si>
    <t>Caprice PPV 2012-2017; Charger Prusuit 2011-2023; Durango 2020-2025; Police Intercept Sedan 2013-2019; Police Intercept Utility 2012-2025 (Push Bumper Light Channel 23.5 inch Soundoff, 4 Hole)</t>
  </si>
  <si>
    <t>Caprice PPV 2012-2017; Charger Prusuit 2011-2023; Durango 2020-2025; Police Intercept Sedan 2013-2019; Police Intercept Utility 2012-2025 (Push Bumper Light Channel 23.5 inch for Code MR6 &amp; Soundoff MPowerHD, 2 Hole)</t>
  </si>
  <si>
    <t>Caprice PPV 2012-2017; Charger Prusuit 2011-2023; Durango 2020-2025; Police Intercept Sedan 2013-2019; Police Intercept Utility 2012-2025 (Push Bumper Light Channel 23.5 inch for Code MR6 &amp; Soundoff MPowerHD, 4 Hole)</t>
  </si>
  <si>
    <t>Caprice PPV 2012-2017; Charger Prusuit 2011-2023; Durango 2020-2025; Police Intercept Sedan 2013-2019; Police Intercept Utility 2012-2025 (Push Bumper Light Channel 23.5 inch Whelen, 2 Hole)</t>
  </si>
  <si>
    <t>Caprice PPV 2012-2017; Charger Prusuit 2011-2023; Durango 2020-2025; Police Intercept Sedan 2013-2019; Police Intercept Utility 2012-2025 (Push Bumper Light Channel 23.5 inch Whelen, 4 Hole)</t>
  </si>
  <si>
    <t>Silverado 1500/LD 2014-2025; Silverado 1500 LTD 2022; Tahoe PPV 2015-2025; RAM 1500 SSV 2013-2018; 1500 SSV Classic 2019-2023; Expedition/SSV 2015-2017; F-150 SSV/Police Respond 2015-2025 (Excl. Lightning)(Push Bumper Light Channel 33.1 inch Solid)</t>
  </si>
  <si>
    <t>Silverado 1500/LD 2014-2025; Silverado 1500 LTD 2022; Tahoe PPV 2015-2025; RAM 1500 SSV 2013-2018; 1500 SSV Classic 2019-2023; Expedition/SSV 2015-2017; F-150 SSV/Police Respond 2015-2025 (Excl. Lightning)(Push Bumper Light Channel 33.1 inch Code 3, 2 Hole for Chase Lights)</t>
  </si>
  <si>
    <t>Silverado 1500/LD 2014-2025; Silverado 1500 LTD 2022; Tahoe PPV 2015-2025; RAM 1500 SSV 2013-2018; 1500 SSV Classic 2019-2023; Expedition/SSV 2015-2017; F-150 SSV/Police Respond 2015-2025 (Excl. Lightning)(Push Bumper Light Channel 33.1 inch Code 3, 4 Hole for Chase Lights)</t>
  </si>
  <si>
    <t>Silverado 1500/LD 2014-2025; Silverado 1500 LTD 2022; Tahoe PPV 2015-2025; RAM 1500 SSV 2013-2018; 1500 SSV Classic 2019-2023; Expedition/SSV 2015-2017; F-150 SSV/Police Respond 2015-2025 (Excl. Lightning); Code 3 Megaflex Light</t>
  </si>
  <si>
    <t>Silverado 1500/LD 2014-2025; Silverado 1500 LTD 2022; Tahoe PPV 2015-2025; RAM 1500 SSV 2013-2018; 1500 SSV Classic 2019-2023; Expedition/SSV 2015-2017; F-150 SSV/Police Respond 2015-2025 (Excl. Lightning); Code 3 Megaflex Light.</t>
  </si>
  <si>
    <t>Silverado 1500/LD 2014-2025; Silverado 1500 LTD 2022; Tahoe PPV 2015-2025; RAM 1500 SSV 2013-2018; 1500 SSV Classic 2019-2023; Expedition/SSV 2015-2017; F-150 SSV/Police Respond 2015-2025 (Excl. Lightning)(Push Bumper Light Channel 33.1 inch Federal Signal Micropulse Light, 2 Hole)</t>
  </si>
  <si>
    <t>Silverado 1500/LD 2014-2025; Silverado 1500 LTD 2022; Tahoe PPV 2015-2025; RAM 1500 SSV 2013-2018; 1500 SSV Classic 2019-2023; Expedition/SSV 2015-2017; F-150 SSV/Police Respond 2015-2025 (Excl. Lightning)(Push Bumper Light Channel 33.1 inch Federal Signal Micropulse Light, 4 Hole)</t>
  </si>
  <si>
    <t>Silverado 1500/LD 2014-2025; Silverado 1500 LTD 2022; Tahoe PPV 2015-2025; RAM 1500 SSV 2013-2018; 1500 SSV Classic 2019-2023; Expedition/SSV 2015-2017; F-150 SSV/Police Respond 2015-2025 (Excl. Lightning)(Push Bumper Light Channel 33.1 inch Soundoff, 2 Hole)</t>
  </si>
  <si>
    <t>Silverado 1500/LD 2014-2025; Silverado 1500 LTD 2022; Tahoe PPV 2015-2025; RAM 1500 SSV 2013-2018; 1500 SSV Classic 2019-2023; Expedition/SSV 2015-2017; F-150 SSV/Police Respond 2015-2025 (Excl. Lightning)(Push Bumper Light Channel 33.1 inch Soundoff, 4 Hole)</t>
  </si>
  <si>
    <t>Silverado 1500/LD 2014-2025; Silverado 1500 LTD 2022; Tahoe PPV 2015-2025; RAM 1500 SSV 2013-2018; 1500 SSV Classic 2019-2023; Expedition/SSV 2015-2017; F-150 SSV/Police Respond 2015-2025 (Excl. Lightning)(Push Bumper Light Channel 33.1 inch for Code MR6 &amp; Soundoff MPowerHD, 2 Hole)</t>
  </si>
  <si>
    <t>Silverado 1500/LD 2014-2025; Silverado 1500 LTD 2022; Tahoe PPV 2015-2025; RAM 1500 SSV 2013-2018; 1500 SSV Classic 2019-2023; Expedition/SSV 2015-2017; F-150 SSV/Police Respond 2015-2025 (Excl. Lightning)(Push Bumper Light Channel 33.1 inch for Code MR6 &amp; Soundoff MPowerHD, 4 Hole)</t>
  </si>
  <si>
    <t>Silverado 1500/LD 2014-2025; Silverado 1500 LTD 2022; Tahoe PPV 2015-2025; RAM 1500 SSV 2013-2018; 1500 SSV Classic 2019-2023; Expedition/SSV 2015-2017; F-150 SSV/Police Respond 2015-2025 (Excl. Lightning)(Push Bumper Light Channel 33.1 inch Whelen, 2 Hole)</t>
  </si>
  <si>
    <t>Silverado 1500/LD 2014-2025; Silverado 1500 LTD 2022; Tahoe PPV 2015-2025; RAM 1500 SSV 2013-2018; 1500 SSV Classic 2019-2023; Expedition/SSV 2015-2017; F-150 SSV/Police Respond 2015-2025 (Excl. Lightning)(Push Bumper Light Channel 33.1 inch Whelen, 4 Hole)</t>
  </si>
  <si>
    <t>Samsung A7 Lite T227U</t>
  </si>
  <si>
    <t>Samsung Galaxy TAB A7 Lite Model T227U</t>
  </si>
  <si>
    <t>Microsoft Surface Pro 4 thru 7</t>
  </si>
  <si>
    <t>Microsoft Surface Pro 8 and Up</t>
  </si>
  <si>
    <t>601 code. Set of two with ring</t>
  </si>
  <si>
    <t>1001 code. Set of two with ring</t>
  </si>
  <si>
    <t>To convert from Orbital G.R.I.P. Articulation to VESA 100 Pattern</t>
  </si>
  <si>
    <t>To convert from Orbital G.R.I.P. Articulation to VESA 75 Pattern</t>
  </si>
  <si>
    <t>To convert Orbital G.R.I.P. Articulation to 400-0006 (TH-396); Adjustable (for Portrait or Landscape Orientation)</t>
  </si>
  <si>
    <t>To convert from 400-0006 (TH-396) Articulation to VESA 75, 2x4", 2" OG, &amp; G.R.I.P.; Adjustable (for Portrait or Landscape Orientation)</t>
  </si>
  <si>
    <t>Sensor Bar Bracket for IRIS Flush Mount Sensor. Includes (4) 2.75" 8-32 pan head machine screws; (4) #8 washers; (4) nylon locking 8-32 nuts</t>
  </si>
  <si>
    <t>Power distribution Mounting bracket - Version1 (MINIMUM PURCHASE QUANTITY: 10)</t>
  </si>
  <si>
    <t>Power distribution Mounting bracket - Version2 (MINIMUM PURCHASE QUANTITY: 10)</t>
  </si>
  <si>
    <t>Backing Plate for OG-503 Mount</t>
  </si>
  <si>
    <t>Backing Plate for OG-505 w/ 8-32 PEM nuts &amp; (4) 8-32x0.75'' Pan head Phillips screws</t>
  </si>
  <si>
    <t>Sign Holder Bracket for NXTPS 7X96" Sign</t>
  </si>
  <si>
    <t>Adaptor Plate for TH-386 to RAM Ball w/ Rectangle Base</t>
  </si>
  <si>
    <t>Adaptor Plate for TH-386 to RAM Ball w/ 2-3/8'' Circular Base</t>
  </si>
  <si>
    <t>Tablet Docking Station with 5VDC Charger for Samsung GALAXY TAB A (10.5'') Model SMT597 (Mates with HiNT Tab-Shell TS-405-QC)</t>
  </si>
  <si>
    <t>Internal Cable Harness for Tab-Shell w/ Quick Connector for Samsung GALAXY TAB E (8'')</t>
  </si>
  <si>
    <t>Samsung T307</t>
  </si>
  <si>
    <t>Samsung T380</t>
  </si>
  <si>
    <t>Samsung T387</t>
  </si>
  <si>
    <t>Tab-Shell with Quick Connector for Samsung GALAXY TAB A (10.5'') Model SMT597</t>
  </si>
  <si>
    <t>Quick Connect Cable 3' Long for 14-Pin Quick Connector of HiNT Tab-Shell to USB-A Connector</t>
  </si>
  <si>
    <t>Circuit Board Power Supply for TH-386/387 w/ 6" Micro USB Cable</t>
  </si>
  <si>
    <t>Adjustable Tamper Resistant Aluminum Tablet Holder w/ Cam Lock (for 7" to 10" Tablets) w/ LEFT Connector Cover &amp; Power Supply</t>
  </si>
  <si>
    <t>Adaptor plate w/ VESA 75 pattern &amp; OG pattern mounting holes</t>
  </si>
  <si>
    <t>Tamper Resistant Mount w/ on Small Flat Base</t>
  </si>
  <si>
    <t>Tamper Resistant Mount w/ on Small Right Angle Base</t>
  </si>
  <si>
    <t>Tamper Resistant Mount w/ on 3" post w/ 3x3" Flat Base</t>
  </si>
  <si>
    <t>Motorcycle</t>
  </si>
  <si>
    <t>Tamper Resistant Mount w/ Double-Bend Base</t>
  </si>
  <si>
    <t>Tamper Resistant Mount w/ 45 inclined shaft &amp; Flat Base</t>
  </si>
  <si>
    <t>Tamper Resistant Mount on 7" Telescopic Square Post &amp; Side Mounting Base</t>
  </si>
  <si>
    <t>Tamper Resistant Mount on Adjustable Frame w/ Triple Bend</t>
  </si>
  <si>
    <t>Tamper Resistant Mount w/ 5" Arm &amp; Insert Base for Cupholder</t>
  </si>
  <si>
    <t>Tamper Resistant Mount w/ 5" Arm &amp; Side Mounting Plate</t>
  </si>
  <si>
    <t>Tamper Resistant Mount w/ 45 inclined shaft &amp; 5" Telescopic Post on 4x6" Base Plate</t>
  </si>
  <si>
    <t>Tamper Resistant Mount on 14'' Telescopic Square Post w/ 4'x4'' Base Plate</t>
  </si>
  <si>
    <t>Tamper Resistant Mount w/ Swing Arm, 12" Offset Telescopic Post &amp; Adjustable Under Seat Base (includes Front Support)</t>
  </si>
  <si>
    <t>Power Cable for Tab-Shell, 12' Long w/ 2 Conductor 18 Gage AWG Terminated in Molex Connector w/ Fuse &amp; Fuse Holder</t>
  </si>
  <si>
    <t>Tab-Shell w/ Quick Connector for Apple iPad MINI (2)</t>
  </si>
  <si>
    <t>Tab-Shell w/ Quick Connector for Apple iPAD PRO 12.9 (Mates w/ 400-0071 (TS-405-PDSIPADPRO129 Tablet Docking Station)</t>
  </si>
  <si>
    <t>Swivel Adaptor Plate w/ Universal Mounting Holes for 400-0006 (TH-396) Tablet Holder. Allows 400-0006 (TH-396) to be Used in Portrait or Landscape Orientation</t>
  </si>
  <si>
    <t>Panasonic CF19</t>
  </si>
  <si>
    <t>Circuit Board &amp; Box for Tablet Docking Station</t>
  </si>
  <si>
    <t>Tablet Docking Station w/ 5VDC Fast Charger for Apple IPAD 2017; Mates w/ 400-0030 (TS-405-QC-IPAD-17 Tab-Shell)</t>
  </si>
  <si>
    <t>Tablet Docking Station w/ 5VDC Charger for Apple IPAD AIR (1/2); Mates w/ 400-0072 (TS-405-QC-IPAD-AIR Tab-Shell)</t>
  </si>
  <si>
    <t>Tablet Docking Station w/ 5VDC Charger for Apple IPAD MINI (2); Mates w/ 400-0061 (TS-405-QC-IPAD-MINI2 Tab-Shell)</t>
  </si>
  <si>
    <t>Tablet Docking Station w/ 5VDC Charger for Apple IPAD PRO 12.9; Mates w/ 400-0063 (TS-405-QCIPADPRO129 Tab-Shell)</t>
  </si>
  <si>
    <t>Tab-Shell w/ Quick Connector for Apple iPad AIR (1/2)</t>
  </si>
  <si>
    <t>Malibu 2011-2025;Traverse 2018-2025;Caravan 2011-2025;Charger 2011-2024;Edge 2013-2025;Escape 2013-2025;Explorer 2011-2025;Fusion 2013-2025;Intercept Sedan 2011-2019;Intercept Utility 2011-2025;Taurus 2011-2019;Transit Connt. 2011-2025;Transit Van 2013-2025</t>
  </si>
  <si>
    <t>TG3 Keyboard, Brother PJ-723</t>
  </si>
  <si>
    <t>Police Interceptor Utility 2020-2024</t>
  </si>
  <si>
    <t>Colorado 2021-2025;Imapala 2003-2020;Silverado 1500 2015-2025;Suburban 2015-2020;Tahoe 2015-2020</t>
  </si>
  <si>
    <t>Colorado 2011-2015;Durango 2011-2022;Ram 1500/2500/3500 2011-2021;Ranger 2006-2012;Grand Cherokee 2018-2025</t>
  </si>
  <si>
    <t>Silverado 2015-2025;Suburban 2015-2020;Tahoe 2015-2020</t>
  </si>
  <si>
    <t>Police Interceptor Sedan 2011-2019</t>
  </si>
  <si>
    <t>VESA 75, VESA 100 &amp; 2x4" Hole Patterns</t>
  </si>
  <si>
    <t>Data911 12 in. M6/M7/M8 and TAC5</t>
  </si>
  <si>
    <t>Colorado 2011-2015;Durango 2011-2025;Ram 1500/2500/3500 2011-2025;Ranger 2006-2012;Grand Cherokee 2018-2025</t>
  </si>
  <si>
    <t>F250/F350 2011-2016</t>
  </si>
  <si>
    <t>Express 1500/2500/3500 2011-2025;Silverado 2011-2014, 2021-2025;Tahoe 2011-2014, 2021-2025;Expedition 2018-2025;E-Series 2011-2025;F150 2011-2025;F250/F350/F450/F550/F650 2017-2025;F600 2020-2025;Ranger 2019-2025</t>
  </si>
  <si>
    <t>Tahoe 2015-2020;Suburban 2015-2020;Silverado 1500/2500/3500 2015-2020;Sierra 1500/2500/3500 2015-2020</t>
  </si>
  <si>
    <t>Express 1500/2500/3500 2011-2025;Silverado 2011-2014, 2021-2025;Tahoe 2011-2014, 2021-2025;Expedition 2018-2025;E-Series 2011-2025;F150 2011-2025;F250/F350/F450/F550/F650 2017-2025;Ranger 2018-2025</t>
  </si>
  <si>
    <t>Expedition 2011-2017</t>
  </si>
  <si>
    <t>Impala 2003-2020</t>
  </si>
  <si>
    <t>12" Tablet Post w/ 500-0004 (UDB-01); 10" Keyboard Post &amp; Adjustable Tray for 12" Keyboard; Mid-Section on square base. Mounts to horizontal flat surface.</t>
  </si>
  <si>
    <t>Traverse 2014-2017</t>
  </si>
  <si>
    <t>Tablet Post w/ 500-0004 (UDB-01); Keyboard Post &amp; Adjustable Tray for 12" Keyboard. Used for non-mounted table top demonstrations.</t>
  </si>
  <si>
    <t>FOR LA COUNTY SHERIFF ONLY;Malibu 2011-2025; Traverse 2018-2025; Charger 2011-2024; Caravan 2011-2025; Edge 2013-2025; Escape 2013-2025; Explorer 2011-2025; Fusion 2013-2025; Police Interceptor Sedan 2011-2019; Police Interceptor Utility 2011-2025; Taurus 2011-2019; Transit Connect 2011-2025; Transit Van 2013-2025</t>
  </si>
  <si>
    <t>Super Duty 2011-2016</t>
  </si>
  <si>
    <t>For Panasonic CF19 w/ Panasonic Docking Station</t>
  </si>
  <si>
    <t>For Panasonic CF30 w/ Panasonic Docking Station</t>
  </si>
  <si>
    <t>2x4" Hole Pattern</t>
  </si>
  <si>
    <t>Patrol PC</t>
  </si>
  <si>
    <t>Adaptor Plate for Data 911 12" M6, M7, M8 Display for TM-5120 Series On-Dash Mount</t>
  </si>
  <si>
    <t>For Data911 15" M6 Display w/ Vertical Adjustment Slots</t>
  </si>
  <si>
    <t>For Data911 15" M7 &amp; M8 Displays</t>
  </si>
  <si>
    <t>For Data911 12" M6, M7 &amp; M8 Displays</t>
  </si>
  <si>
    <t>For Havis UT-101 Laptop Tray</t>
  </si>
  <si>
    <t>For Tablet Holders &amp; Docking Stations</t>
  </si>
  <si>
    <t>For Map Light to be mounted on Keyboard Tray</t>
  </si>
  <si>
    <t>For Patrol PC Rhino Docking Station w/ Adjustable Angle for Keyboard Tray (Keyboard Tray not included)</t>
  </si>
  <si>
    <t>Adaptor Plate for 500-0212 (TM-5223-HD) w/ mounting holes for tablet holder &amp; holes for TG3 keyboard.</t>
  </si>
  <si>
    <t>VESA 75;VESA 100</t>
  </si>
  <si>
    <t>For Data911 15" Display</t>
  </si>
  <si>
    <t>For Data911 15" M7 Display</t>
  </si>
  <si>
    <t>Display Holder for Motorola MW810</t>
  </si>
  <si>
    <t>Display Holder for Panasonic PDRC</t>
  </si>
  <si>
    <t>Display Holder for Tablet Docking System for iPad</t>
  </si>
  <si>
    <t>"Adjustable Tray for Small Keyboards (10""). Dimension Ranges: Height 0-1.125""; Width 10""-11""; Depth 4""-No Limit "</t>
  </si>
  <si>
    <t>"Adjustable Tray for Large Keyboards (14.5""). Dimension Ranges, Height 0-1.125""; Width 14.5""-15.5""; Depth 4""-No Limit "</t>
  </si>
  <si>
    <t>Holster w/ Velcro Strap for TG3 Keyboard only in Horizontal Position</t>
  </si>
  <si>
    <t>Holster w/ Top Latch for TG3 Keyboard only in Vertical Position</t>
  </si>
  <si>
    <t>Set of 2 "L" Legs for the Retractable Printer Mount w/ Base for Rear of Console</t>
  </si>
  <si>
    <t>Heavy Duty Adjustable Mounting System w/ 18" Post for Getac Display (w/ Side Covers) &amp; Keyboard</t>
  </si>
  <si>
    <t>Retractable Printer Mount for Zebra ZQ520 w/ Base for Rear of Console for CT State Police</t>
  </si>
  <si>
    <t>Express 2011-2025</t>
  </si>
  <si>
    <t>Silverado 2015-2025</t>
  </si>
  <si>
    <t>Equinox 2011-2025</t>
  </si>
  <si>
    <t>High Hold Down Clips w/ Hardware for Adjustable Laptop Trays (Set of 4)</t>
  </si>
  <si>
    <t>Female "L" Knob for G.R.I.P. Articulation w/ 1/4-20 thread.</t>
  </si>
  <si>
    <t>Side Clips for Keyboard Tray (Set of 2) (Specify Keyboard)</t>
  </si>
  <si>
    <t>Female "T" Knob for Main arm channel with 5/16"-18 thread.</t>
  </si>
  <si>
    <t>1" Rubber Grommet</t>
  </si>
  <si>
    <t>Telescopic Post on 6x6" Flat Bottom Mounting Plate Base Only</t>
  </si>
  <si>
    <t>Articulation for Laptop Series Mount</t>
  </si>
  <si>
    <t>Mid-Section with Adjustable Shaft Collars for One Round Post Located Next to the Main Square Post Towards the Rear of the Vehicle. Main Post is 1.25" x 1.25" x 10" Square Tube Designed to Mate with Adjustable Base Series TA-2500-B</t>
  </si>
  <si>
    <t>Harley Davidson</t>
  </si>
  <si>
    <t>Mid-Section w/ Adjustable Shaft Collars for Two Round Posts. The Collar Receptacles for the Display Post are Located next to the Main Square Post towards the Rear of the vehicle &amp; the Collar Receptacles for the Keyboard Post are Located 5" Away from the Main Square Post Towards the Rear of the Vehicle. Main Post is 1.25x1.25x10" Square Tube Designed to Mate w/ Adjustable TM &amp; KM Series Mount Under Seat Base</t>
  </si>
  <si>
    <t>Mid-Section w/ Adjustable Shaft Collars for Two Round Posts. The Collar Receptacles for the Display Post are Located 1.25" Apart From the Main Square Post Towards the Front of the Vehicle &amp; the Collar Receptacles for the Keyboard Post are Located Next to the Main Square Post Towards the Rear of the Vehicle. Main Post is 1.25x1.25x10" Square Tube Designed to Mate w/ Adjustable TM &amp; KM Series Mount Under Seat Base</t>
  </si>
  <si>
    <t>10" Display Post w/ 4" Arm &amp; G.R.I.P. Tilt/Swivel for TM &amp; KM Series Mounts</t>
  </si>
  <si>
    <t>12" Display Post w/ 4" Arm &amp; G.R.I.P. Tilt/Swivel for TM &amp; KM Series Mounts</t>
  </si>
  <si>
    <t>Backing Plate for Mounting Base of 500-0011 (TM-5501UDB-SMP)</t>
  </si>
  <si>
    <t>Rear Support for Under the Seat Mounts</t>
  </si>
  <si>
    <t>Mount for Zebra RW420 Printer w/ Quick Release for Partition</t>
  </si>
  <si>
    <t>Mount for Zebra ZQ520 Printer w/ Quick Release for Partition</t>
  </si>
  <si>
    <t>Retractable Mount for Zebra RW420 Printer w/ Base for Rear of Console</t>
  </si>
  <si>
    <t>Retractable Mount for Zebra ZQ520 Printer w/ Base for Rear of Console</t>
  </si>
  <si>
    <t>Retractable Mount for Zebra ZQ520 Printer w/ Base for Front of 9" wide Console w/ "L" Legs</t>
  </si>
  <si>
    <t>Retractable Mount for Zebra RW420 Printer for Rear of Panasonic CF19/CF31 Docking Station</t>
  </si>
  <si>
    <t>Mount w/ flat base for Seiko Printer Model MPA40</t>
  </si>
  <si>
    <t>3.7" Low Profile Post w/ Double Arm &amp; 500-0069 (AP-UNIV) on 10x12" "L" Base</t>
  </si>
  <si>
    <t>3.5" Low Profile Post w/ Double Arm &amp; 500-0069 (AP-UNIV) on 4x8" Bottom Mounting Plate</t>
  </si>
  <si>
    <t>3.5" Low Profile Post w/ Double Arm &amp; 500-0069 (AP-UNIV) for Fire Engine Cover w/ Adjustable Angle "L" Base</t>
  </si>
  <si>
    <t>Side Base w/ 4x10'' Mounting Plate &amp; 1.5x1.5x12'' Tube receptacle for MID Section.</t>
  </si>
  <si>
    <t>12" Post w/ Double Arm &amp; 500-0069 (AP-UNIV) on Adjustable Bridge Designed to Fit Over Console</t>
  </si>
  <si>
    <t>12" Post w/ Double Arm &amp; 500-0069 (AP-UNIV) on Bridge Over 13" Wide Console</t>
  </si>
  <si>
    <t>Police Interceptor Utility 2011-2021</t>
  </si>
  <si>
    <t>6" Telescopic Post w/ 500-0069 (AP-UNIV), &amp; 1/4x6x8" Flat Base for Table Top w/ NO Mounting Holes. To be used for holding tablets on desks</t>
  </si>
  <si>
    <t>4" Arm w/ 500-0069 (AP-UNIV), &amp; 3x11" Bottom Side Mounting Plate w/ Adjustable Pivot.</t>
  </si>
  <si>
    <t>Hinged Tablet Mount for Data911 12" M6, M7 &amp; M8 Displays</t>
  </si>
  <si>
    <t>Hinged Tablet Mount for Data911 15'' M7 Display</t>
  </si>
  <si>
    <t>Retractable Low Profile Mount for Patrol PC RHINOTAB w/ Docking Station</t>
  </si>
  <si>
    <t>10" Arm w/ 500-0069 (AP-UNIV), 1x10" Post, &amp; 5x4" Base Plate w/ Adjustable Angle</t>
  </si>
  <si>
    <t>12" Telescopic Post for Tablet on 8x8" Base Plate.</t>
  </si>
  <si>
    <t>Adjustable Angle Fold Down DH &amp; Adjustable Angle Fold Up Adjustable Tray for 12" Keyboard.</t>
  </si>
  <si>
    <t>Trunk of KING TOUR-PAK Motorcycle</t>
  </si>
  <si>
    <t>Stainless Steel Backing Plate for 500-0214 (TM-5312-RHINO) Mount</t>
  </si>
  <si>
    <t>Stainless Steel Hinged Tablet Mount For Rhino Tab Docking Station</t>
  </si>
  <si>
    <t>For Panasonic PDRC Display</t>
  </si>
  <si>
    <t>3x3 Hole Pattern</t>
  </si>
  <si>
    <t>For Coban TITAN M7</t>
  </si>
  <si>
    <t>Tahoe 2015-2020</t>
  </si>
  <si>
    <t>Tahoe 2011-2014, 2021; Express Van 2011-2025; F150 2011-2025; Super Duty Trucks 2017-2025; Expedition 2018-2025; E-series Van 2011-2025</t>
  </si>
  <si>
    <t>Super Duty Trucks 2011-2016</t>
  </si>
  <si>
    <t>Durango 2011-2025; RAM 2011-2025, Grand Cherokee 2011-2025</t>
  </si>
  <si>
    <t>Tablet and Keyboard mount for Large Truck Cabins</t>
  </si>
  <si>
    <t>Tablet Mount with Single Telescopic Post and G.R.I.P. Tilt/Swivel with Display Holder on Under the Seat Base for Ford SUPER DUTY Trucks (2017+)(F250-F650)</t>
  </si>
  <si>
    <t>With Slide Out Drawer for Brother Pocket Jet and Prontek i80. Includes Laptop Mount Spacer Bracket with VESA and 3 x 3 in, Bolt Pattern</t>
  </si>
  <si>
    <t>Police Interceptor Utility 2025</t>
  </si>
  <si>
    <t>Interceptor Utility 2020-2025</t>
  </si>
  <si>
    <t>F150/F250/F350/F450/F550/F650 2018-2025</t>
  </si>
  <si>
    <t>Tool Hooks (Set of 2) for Sliding Rear Organizer Cage</t>
  </si>
  <si>
    <t>Police Fusion 2019</t>
  </si>
  <si>
    <t>Interceptor Utility 2011-2019</t>
  </si>
  <si>
    <t>Interceptor Sedan 2011-2019</t>
  </si>
  <si>
    <t>4x7" Arm rest pad w/ Telescopic Post for rear of 9 in. wide console. Console must have side slots</t>
  </si>
  <si>
    <t>3x10" single arm rest pad w/ Telescopic Post for side or rear of console. Consoles must have side &amp; rear mounting slots</t>
  </si>
  <si>
    <t>4x7" Arm rest pad w/ Telescopic Post. Mounts on top of console. Side impact collapsable.</t>
  </si>
  <si>
    <t>4x7" Arm rest pad w/ Telescopic Post. Mounts to the side of console. Side impact collapsable.</t>
  </si>
  <si>
    <t>F150/F250/F350/F450/F550/F600 2021-2025</t>
  </si>
  <si>
    <t>Tahoe 2021-2025</t>
  </si>
  <si>
    <t>Silverado 1500 PPV 2024-2025, Tahoe PPV 2021-2025</t>
  </si>
  <si>
    <t>F150/F250/F350 2018-2025</t>
  </si>
  <si>
    <t>Charger 2011-2024</t>
  </si>
  <si>
    <t>Durango Pursuit 2021-2025</t>
  </si>
  <si>
    <t>2015-2025 Tahoe; 2018-2025 F-150; 2015-2025 Yukon</t>
  </si>
  <si>
    <t>Bendix King</t>
  </si>
  <si>
    <t>Whelen</t>
  </si>
  <si>
    <t>Federal Signal</t>
  </si>
  <si>
    <t>Rocker Switch and Single 12V Power Plug, 2" Opening</t>
  </si>
  <si>
    <t>Motorola</t>
  </si>
  <si>
    <t>Storage box - 2" x 3" x 7" for 9" Wide console, 4.5" Opening</t>
  </si>
  <si>
    <t>1" filler plate for 9" wide console opening</t>
  </si>
  <si>
    <t>1.5" filler plate for 9" wide console opening</t>
  </si>
  <si>
    <t>2" filler plate for 9" wide console opening</t>
  </si>
  <si>
    <t>2.5" filler plate for 9" wide console opening</t>
  </si>
  <si>
    <t>3" filler plate for 9" wide console opening</t>
  </si>
  <si>
    <t>4" filler plate for 9" wide console opening</t>
  </si>
  <si>
    <t>.5" filler plate for 9" wide console opening</t>
  </si>
  <si>
    <t>5" Filler Plate For 9" Wide Console Opening</t>
  </si>
  <si>
    <t>6" filler plate for 9" wide console opening</t>
  </si>
  <si>
    <t>8" Filler Plate For 9" Wide Console Opening</t>
  </si>
  <si>
    <t>Dual Cup Holder Faceplate for 9" wide console. 4.5" Opening</t>
  </si>
  <si>
    <t>Dual Cup Holder Faceplate ANGLED for 14" wide consoles. 6.5" Opening</t>
  </si>
  <si>
    <t>Uniden</t>
  </si>
  <si>
    <t>Misc - (2) 12v Outlets &amp; (2) 5v/USB Outlets, 2" Opening</t>
  </si>
  <si>
    <t>Sound Off Signal</t>
  </si>
  <si>
    <t>Midland</t>
  </si>
  <si>
    <t>L3</t>
  </si>
  <si>
    <t>Kenwood</t>
  </si>
  <si>
    <t>Fenix</t>
  </si>
  <si>
    <t>Harris</t>
  </si>
  <si>
    <t>Ef Johnson</t>
  </si>
  <si>
    <t>Code 3</t>
  </si>
  <si>
    <t>Code 3 - TS-NS-CONT, 2" Opening</t>
  </si>
  <si>
    <t>Mastercom</t>
  </si>
  <si>
    <t>Star</t>
  </si>
  <si>
    <t>Zebra</t>
  </si>
  <si>
    <t>Brother</t>
  </si>
  <si>
    <t>Datamax-O'Neil</t>
  </si>
  <si>
    <t>2020-2025 Police Interceptor Utility</t>
  </si>
  <si>
    <t>Microphone Clip w/ L-Bracket</t>
  </si>
  <si>
    <t>Additional Divider for ROC-9800-S3D</t>
  </si>
  <si>
    <t>Cone Holder for Sliding Rear Organizer Cage</t>
  </si>
  <si>
    <t>Drawer Full Size 31.5x16x6"</t>
  </si>
  <si>
    <t>Drawer Half Size 16x16x4"</t>
  </si>
  <si>
    <t>Shelf w/ 3 Dividers for Sliding Rear Organizer Cage</t>
  </si>
  <si>
    <t>Tahoe 2015-2025</t>
  </si>
  <si>
    <t>Upper Tier Walls for Sliding Rear Organizer Cage 8" high.</t>
  </si>
  <si>
    <t>Weapons Vault for Sliding Rear Organizer Cage w/ Simplex 900 Lock</t>
  </si>
  <si>
    <t>Faceplate w/ (2) Cup Holders - Internal</t>
  </si>
  <si>
    <t>Microphone Clips w/ extended "L" Bracket 2.125x1.5x6" 11 Gage Steel w/ (2) 3" long Slots</t>
  </si>
  <si>
    <t>Interceptor Utility 2019-2025</t>
  </si>
  <si>
    <t>2020-2025 Police Interceptor Utility (W/Setina Partition)</t>
  </si>
  <si>
    <t>F150 2018-2025</t>
  </si>
  <si>
    <t>Police Interceptor Utility 2013-2019</t>
  </si>
  <si>
    <t>Tahoe 2015-2020; Yukon 2015-2020</t>
  </si>
  <si>
    <t>Tahoe 2015-2025, F150 2018-2025; Yukon 2015-2025</t>
  </si>
  <si>
    <t>Misc - (2) 12v Outlets, 2" Opening</t>
  </si>
  <si>
    <t>Misc - (2) 5v Outlets, 2" Opening</t>
  </si>
  <si>
    <t>Misc - (3) 12v Outlets, 2" Opening</t>
  </si>
  <si>
    <t>Police Responder Fusion 2019-2020</t>
  </si>
  <si>
    <t>Simplex 900 Lock for PA-ROC-9821 Weapons Vault</t>
  </si>
  <si>
    <t>T Knob w/ Key Lock for PA-ROC-9821 Weapons Vault</t>
  </si>
  <si>
    <t>Faceplate for Remote Head Siren Controller (Specify Make &amp; Model)</t>
  </si>
  <si>
    <t>Storage Box - 3" x 7" x 1" for 9" wide console, 3" Opening</t>
  </si>
  <si>
    <t>Storage Tray - 4" x 7" x 1" for 9" Wide Console, 4" Opening</t>
  </si>
  <si>
    <t>Storage Box - 4" x 7' x 2" for 9" wide console, 4" Opening</t>
  </si>
  <si>
    <t>Police Interceptor Utility 2013-2025</t>
  </si>
  <si>
    <t>Misc - Power Distribution Unit, 3.25" Opening. (Priority Install Only)</t>
  </si>
  <si>
    <t>Misc - 3 Rectangle Cutouts for Switches, 3" Opening. (Priority Install Only)</t>
  </si>
  <si>
    <t>Misc - 3 Rectangle Cutouts for Switches, 2.75" Opening. (WMATA ONLY) (Switches not included)</t>
  </si>
  <si>
    <t>Misc - 6 Rectangle Cutouts for Switches, 2.75" Opening. (WMATA ONLY) (Switches not included)</t>
  </si>
  <si>
    <t>Tahoe 2015-2019</t>
  </si>
  <si>
    <t>Security Combination Lock for PA-ROC-9821 Weapons Vault Tumbler lock</t>
  </si>
  <si>
    <t>Police Interceptor Utility 2011-2025</t>
  </si>
  <si>
    <t>Rectangular Rocker Switches (2), Horizontal Orientation, 1.5" Opening</t>
  </si>
  <si>
    <t>MA-COM Harris</t>
  </si>
  <si>
    <t>Dual Cup Holder Faceplate, 5" Opening</t>
  </si>
  <si>
    <t>Mounting bracket for 500-0007 Printer bracket and 9" wide conosles. Includes bracket for Havis docking station.</t>
  </si>
  <si>
    <t>Feniex</t>
  </si>
  <si>
    <t>Dodge Charger Pursuit 2023-2024</t>
  </si>
  <si>
    <t>Silverado 1500 2024-2025, Tahoe 2021-2025</t>
  </si>
  <si>
    <t>Faceplate/Fillerplate Replacement Screw Kit</t>
  </si>
  <si>
    <t>Interceptor Utility PASP 2023-2025</t>
  </si>
  <si>
    <t>Equipment Installation Case</t>
  </si>
  <si>
    <t>AMPS Compatible 2 Hole .79in Ball Mount 1.50in</t>
  </si>
  <si>
    <t>AMPS Compatible 2 Hole .79 Ball Mount 1.85in</t>
  </si>
  <si>
    <t>.79in to .79in Connector Ball For Arm Mounts</t>
  </si>
  <si>
    <t>AMPS Compatible Base Mount 1.50in x 1.18in</t>
  </si>
  <si>
    <t>20mm Arm Mount Extra Small 3.54"</t>
  </si>
  <si>
    <t>20mm Arm Mount large 8.26"</t>
  </si>
  <si>
    <t>20mm Arm Mount Medium 5.9"</t>
  </si>
  <si>
    <t>20mm Telescoping Arm Mount 9.5" to 13"</t>
  </si>
  <si>
    <t>20mm GoPro Adaptor Mount</t>
  </si>
  <si>
    <t>20mm Phone Holder up to 3.4" Wide</t>
  </si>
  <si>
    <t>20mm Tablet Holder up to 11" Wide</t>
  </si>
  <si>
    <t>4Runner 2010-2024</t>
  </si>
  <si>
    <t>4Runner 2010-2023</t>
  </si>
  <si>
    <t>Bronco 2021-2024 4dr (Excl. Bronco Sport)</t>
  </si>
  <si>
    <t>2019-2025 Sprinter 144" Wheel Base W/ High Roof</t>
  </si>
  <si>
    <t>2019-2025 Sprinter High Roof</t>
  </si>
  <si>
    <t>Wrangler JL Unlimited 4Dr 2018-2025</t>
  </si>
  <si>
    <t>Extension for 2019-2025 Sprinter W/ 170" WB</t>
  </si>
  <si>
    <t>For Mesa Roof Racks</t>
  </si>
  <si>
    <t>Universal Mid-Size Rack 45"x55"</t>
  </si>
  <si>
    <t>Universal Full-Size Rack 50"x58"</t>
  </si>
  <si>
    <t>2022-2025 Tundra 5.5' (67") Bed</t>
  </si>
  <si>
    <t>2017-2025 F-250/350 Super Duty 6.75' (82") Bed</t>
  </si>
  <si>
    <t>2016-2023 Tacoma 5' (60") Bed</t>
  </si>
  <si>
    <t>2019-2023 Ranger 6' Bed</t>
  </si>
  <si>
    <t>Universal Bed Clamp For All Soft Roll Tonneau Covers (Exc. PN # 19-11065, 19-12785, 19-12815, 19-14075, 19-14185)</t>
  </si>
  <si>
    <t>2022-2024 Frontier</t>
  </si>
  <si>
    <t>Bed Clamp A For PN # 19-10285, 19-11065, 19-12785, 19-12815, 19-14095, 19-14185</t>
  </si>
  <si>
    <t>Bed Clamp B For PN # 19-12785, 19-12815</t>
  </si>
  <si>
    <t>Bed Clamp C For PN # 19-12785, 19-12815</t>
  </si>
  <si>
    <t>2020-2024 Gladiator JT 5' (5' bed) W/ Utility Track Bed Clamp A</t>
  </si>
  <si>
    <t>2020-2024 Gladiator JT 5' (5' bed) W/ Utility Track Bed Clamp B</t>
  </si>
  <si>
    <t>2020-2024 Gladiator JT 5' (5' bed) W/ Utility Track Bed Clamp C</t>
  </si>
  <si>
    <t>2020-2024 Gladiator JT 5' (5' bed) W/O Utility Track Bed Clamp B</t>
  </si>
  <si>
    <t>2020-2024 Gladiator JT 5' (5' bed) W/O Utility Track Bed Clamp C</t>
  </si>
  <si>
    <t>For All Soft Roll Tonneau Covers Front R Corner Foam 2.40 X 1.89 X .31 in (Left and Right Pair )</t>
  </si>
  <si>
    <t>Front Seal Strip 59.06 X .79 X .16 in For PN # 19-12785, 19-12815, 19-22785, 19-22815</t>
  </si>
  <si>
    <t>Front Seal Strip 59.06 X .91 X .67 in For PN # 19-12785, 19-12815, 19-22785, 19-22815</t>
  </si>
  <si>
    <t>2019-2023 Ranger (6' Bed) Front Seal Strip 59.06 X 1.18 X .79 in</t>
  </si>
  <si>
    <t>2022-2024 Frontier (5' Bed) Front Seal Strip 59.06 X 1.18 X .63 in</t>
  </si>
  <si>
    <t>Front Seal Strip 59.06 X 1.38 X .16 in For PN # 19-14705, 19-14735, 19-14745, 19-14785, 19-24705, 19-24735, 19-24745, 19-24785</t>
  </si>
  <si>
    <t>Front Seal Strip 59.06 X .98 X .39 in For All Soft Roll Tonneau Covers &amp; PN # 19-23995, 19-24095, 19-24165, 19-24795, 19-26355, 19-26365</t>
  </si>
  <si>
    <t>Latching System For All Soft Roll Tonneau Covers</t>
  </si>
  <si>
    <t>2019-2023 Ranger (5' Bed) Soft Roll &amp; Soft Tri-Fold Front Seal Strip 59.06 X 1.18 X 1.18 in</t>
  </si>
  <si>
    <t>2017-2024 Nissan Titan 5.5' (67") Bed</t>
  </si>
  <si>
    <t>2005-2021 Nissan Frontier; 2009-2012 Suzuki Equator 5' (59") Bed</t>
  </si>
  <si>
    <t>2005-2021 Nissan Frontier; 2009-2012 Suzuki Equator 6' (73") Bed</t>
  </si>
  <si>
    <t>2024-2025 Tacoma 5' (60") Bed</t>
  </si>
  <si>
    <t>2024-2025 Tacoma 6' Bed</t>
  </si>
  <si>
    <t>2019-2022 Chevy Colorado / GMC Canyon 6' Bed</t>
  </si>
  <si>
    <t>2020-2025 Silverado/Sierra 2500 3500HD 6'10" (82") Bed</t>
  </si>
  <si>
    <t>2019-2023 Ranger 5' Bed</t>
  </si>
  <si>
    <t>2022-2025 Nissan Frontier 5' (60") Bed</t>
  </si>
  <si>
    <t>2022-2024 Nissan Frontier 6' (73") Bed</t>
  </si>
  <si>
    <t>2022-2025 Tundra 6.5' (79") Bed</t>
  </si>
  <si>
    <t>2020-2025 Jeep Gladiator JT 5' (60") Bed</t>
  </si>
  <si>
    <t>2016-2023 Tacoma 6' (74") Bed</t>
  </si>
  <si>
    <t>1999-2016 Ford F-250/350 Super Duty 6.75' Bed (81")</t>
  </si>
  <si>
    <t>2009-2018 Dodge Ram 1500; 2019-2023 Classic 5'7" (67") Bed</t>
  </si>
  <si>
    <t>2009-2024 Dodge Ram 1500; 2010-2025 2500/3500; 2019-2024 Classic 6'4" (76") Bed</t>
  </si>
  <si>
    <t>2014-2018 Chevy Silverado / GMC Sierra 1500; 2015-2019 2500 HD 3500 HD; 2019 LD/Limited Only 6'6" (78") Bed</t>
  </si>
  <si>
    <t>2014-2018 Chevy Silverado GMC Sierra 1500; 2019 LD / Limited 5'9" (69") Bed</t>
  </si>
  <si>
    <t>2015-2025 Ford F-150 5.5' Bed</t>
  </si>
  <si>
    <t>2019-2025 Ram 1500 New Body (Excl. Classic) 5'7" (67") Bed</t>
  </si>
  <si>
    <t>2019-2025 Silverado/Sierra 1500 (Excl. 2019-2024 Classic) 5'10" (70") Bed</t>
  </si>
  <si>
    <t>2019-2025 Silverado/Sierra 1500 (Excl. 2019-2023 Classic) 6'7" (79") Bed</t>
  </si>
  <si>
    <t>2019-2025 Ram 1500 New Body (Excl. Classic) 6'4" (76") Bed</t>
  </si>
  <si>
    <t>2022-2025 Maverick 4.5' (54") Bed</t>
  </si>
  <si>
    <t>2014-2021 Toyota Tundra 6.5' (78") Bed</t>
  </si>
  <si>
    <t>2014-2021 Toyota Tundra 5.5' (66") Bed</t>
  </si>
  <si>
    <t>2021-2025 Ford F-150 5'5" Bed; 2021-2025 F-150 Lightning 5'5" (67") Bed</t>
  </si>
  <si>
    <t>2015-2025 F-150 6.5' (79") Bed</t>
  </si>
  <si>
    <t>2019-2022 Chevy Colorado / GMC Canyon 5'2" Bed</t>
  </si>
  <si>
    <t>2023-2025 Colorado/Canyon 5'1" (61") Bed</t>
  </si>
  <si>
    <t>2017-2023 Honda Ridgeline 5'4" (64") Bed</t>
  </si>
  <si>
    <t>2017-2025 F-250/350 Super Duty 6.9' (82") Bed</t>
  </si>
  <si>
    <t>2024-2025 Ranger (5' Bed) Front Seal Strip 59.06 X 1.18 X .98</t>
  </si>
  <si>
    <t>Seal Strip 78.74 X 1.18 X .24in For All Soft Trifold Tonneau Covers (Exc. 19-22785, 19-22815)</t>
  </si>
  <si>
    <t>Front Foam 3.86 X 3.86 X .59in (x2 Set) For PN # 19-21295, 19-24025, 19-24315, 19-24795, 19-26355, 19-26365</t>
  </si>
  <si>
    <t>Front Foam 1.77 X 1.77 X .47in (x2 Set) For All Soft Trifold Tonneau Covers (Exc. 19-21295, 19-24025, 19-24315, 19-24795, 19-26355, 19-26365)</t>
  </si>
  <si>
    <t>Rear Foam 2.09 X 2.09 X .39in (x2 Set) For All Soft Trifold Tonneau Covers</t>
  </si>
  <si>
    <t>Front Hinge Form (x2 Set) For All Soft Trifold Tonneau Covers</t>
  </si>
  <si>
    <t>Rear Hinge Form (x2 Set) For All Soft Trifold Tonneau Covers</t>
  </si>
  <si>
    <t>Complete front Latch Assembly For All Soft Trifold Tonneau Covers</t>
  </si>
  <si>
    <t>Complete Rear Latch Assembly For All Soft Trifold Tonneau Covers</t>
  </si>
  <si>
    <t>2024-2025 Ranger 5' Bed</t>
  </si>
  <si>
    <t>2022-2024 Frontier (5' Bed) &amp; (6' Bed)(W/Utility)</t>
  </si>
  <si>
    <t>2022-2024 Tundra (6.5' Bed)(W/Utility)</t>
  </si>
  <si>
    <t>2020-2024 Gladiator (5' Bed)(W/ Utility)</t>
  </si>
  <si>
    <t>2009-2014 Ford F-150 5.5' (66") Bed</t>
  </si>
  <si>
    <t>1999-2016 Ford F-250 F-350 Super Duty 6.75' Bed (81")</t>
  </si>
  <si>
    <t>2024-2025 Tacoma 5' Bed</t>
  </si>
  <si>
    <t>1982-2013 Ford Ranger; 1994-2010 Mazda B-Series 6' Bed</t>
  </si>
  <si>
    <t>2015-2022 Colorado/Canyon Fleetside 6'2" (74") Bed</t>
  </si>
  <si>
    <t>2020-2025 Silverado/Sierra 2500/3500HD 6'10" (82") Bed</t>
  </si>
  <si>
    <t>2022-2025 Frontier 5' (60") Bed</t>
  </si>
  <si>
    <t>2022-2025 Frontier 6' (73") Bed</t>
  </si>
  <si>
    <t>2022-2024 Toyota Tundra 6.5' (79") Bed</t>
  </si>
  <si>
    <t>2007-2013 Chevy Silverado/GMC Sierra 1500 (Excl. 2007 Classic) 5'9" (69") Bed</t>
  </si>
  <si>
    <t>2020-2025 Gladiator JT 5' (60") Bed</t>
  </si>
  <si>
    <t>2009-2024 Dodge Ram 1500; 2019-2024 Classic 5'7" (67") Bed</t>
  </si>
  <si>
    <t>2009-2024 Dodge Ram 1500; 2003-2025 2500/3500; 2019-2024 Classic 6'4" (76") Bed</t>
  </si>
  <si>
    <t>2015-2020 Ford F-150 5.5' Bed</t>
  </si>
  <si>
    <t>2019-2025 1500 New Body (Excl. Classic) 5'7" (67") Bed</t>
  </si>
  <si>
    <t>2019-2025 Silverado/Sierra 1500 (Excl. 2019-2024 Classic) 6'7" (79") Bed</t>
  </si>
  <si>
    <t>2019-2025 1500 New Body (Excl. Classic) 6'4" (76") Bed</t>
  </si>
  <si>
    <t>2015-2021 F-150 Standard Short Bed 8'</t>
  </si>
  <si>
    <t>2005-2015 Toyota Tacoma 5' (60")Bed</t>
  </si>
  <si>
    <t>2021-2025 Ford F-150 5.7' Bed; 2021-2025 F-150 Lightning 5.7' (67") Bed</t>
  </si>
  <si>
    <t>2015-2022 Colorado/Canyon Fleetside 5'2" (61") Bed</t>
  </si>
  <si>
    <t>2022-2025 Tundra 5'7" Bed W/ Cargo Management</t>
  </si>
  <si>
    <t>2017-2022 Ford Super Duty 6'10" Bed</t>
  </si>
  <si>
    <t>2016-2023 Tacoma 5' Bed</t>
  </si>
  <si>
    <t>Waterproof Foam For all Hard Trifold Tonneau Covers</t>
  </si>
  <si>
    <t>Installation Kit For PN # 19-43995, 19-44705, 19-46355</t>
  </si>
  <si>
    <t>Installation Kit For PN # 19-44735, 19-44745, 19-44785, 19-46365</t>
  </si>
  <si>
    <t>Installation Hard Kits For PN # 19-44025, 19-44795</t>
  </si>
  <si>
    <t>2019-2023 Ranger 2WD/4WD (6' Bed)</t>
  </si>
  <si>
    <t>Installation Hard Kits</t>
  </si>
  <si>
    <t>2016-2023 Tacoma 2WD/4WD (5' Bed)</t>
  </si>
  <si>
    <t>2016-2023 Tacoma (6'2" Bed)</t>
  </si>
  <si>
    <t>2020-2022 Gladiator JT 4WD (5' Bed)</t>
  </si>
  <si>
    <t>2022-2023 Tundra W/Cargo Management (6' 5" Bed)</t>
  </si>
  <si>
    <t>2022-2023 Frontier W/Cargo Management (5' Bed)</t>
  </si>
  <si>
    <t>2022-2023 Tundra W/Cargo Management (5' 5" Bed)</t>
  </si>
  <si>
    <t>2024 Tacoma 2WD/4WD (5' Bed)</t>
  </si>
  <si>
    <t>Latch Protector For All Hard Trifold Tonneau Covers</t>
  </si>
  <si>
    <t>Rod Supporter For All Hard Trifold Tonneau Covers</t>
  </si>
  <si>
    <t>2004-2014 Ford F-150 2WD/4WD 5'7" Bed</t>
  </si>
  <si>
    <t>2005-2021 Cargo MgmtNissan Frontier 5' Bed</t>
  </si>
  <si>
    <t>2008-2016 Ford Super Duty 6'10" Bed</t>
  </si>
  <si>
    <t>2024-2025 Toyota Tacoma 6'2" Bed</t>
  </si>
  <si>
    <t>2015-2022 Chevy/GMC Canyon/Colorado 6'2" Bed</t>
  </si>
  <si>
    <t>2019-2025 Silverado/Sierra 1500 5'8" Bed</t>
  </si>
  <si>
    <t>2019-2023 Ford Ranger 5' Bed</t>
  </si>
  <si>
    <t>2022-2025 Frontier 5' Bed W/ Cargo Management</t>
  </si>
  <si>
    <t>2022-2025 Tundra 6.7" Bed W/ Cargo Management</t>
  </si>
  <si>
    <t>2007-2013 Rail CapsChevy/GMC 1500 5'8" Bed</t>
  </si>
  <si>
    <t>2020-2025 Gladiator JT 5' Bed</t>
  </si>
  <si>
    <t>2005-2015 Toyota Tacoma 6'2" Bed</t>
  </si>
  <si>
    <t>2016-2023 Tacoma 6'2" Bed</t>
  </si>
  <si>
    <t>2010-2018 Ram 1500 6'4" Bed</t>
  </si>
  <si>
    <t>2014-2019 Rail CapChevy/GMC 1500/2500HD/3500HD 6'7" Bed</t>
  </si>
  <si>
    <t>2014-2018 GM SILVERADO/SIERRA 5'8" Bed</t>
  </si>
  <si>
    <t>2019-2025 1500 (Excl. Classic)(Excl. RamBox) 5'7" Bed</t>
  </si>
  <si>
    <t>2020-2025 Silverado/Sierra 2500 3500HD 6'9" Bed</t>
  </si>
  <si>
    <t>2019-2025 Silverado/Sierra 1500 6'6" Bed</t>
  </si>
  <si>
    <t>2019-2025 1500 (Excl. Classic)(Excl. RamBox) 6'4" Bed</t>
  </si>
  <si>
    <t>2022-2025 Maverick 4'6" Bed</t>
  </si>
  <si>
    <t>2004-2014 Ford F-150 2WD/4WD 6'7" Bed</t>
  </si>
  <si>
    <t>2007-2021 Toyota Tundra 6.5" Bed W/ Cargo Management</t>
  </si>
  <si>
    <t>2007-2021 Cargo MgmtToyota Tundra 5'7" Bed</t>
  </si>
  <si>
    <t>2005-2015 Toyota Tacoma 5' Bed</t>
  </si>
  <si>
    <t>2015-2025 F-150 5.5' Bed, 2021-2025 F-150 Lightning 5.5' Bed</t>
  </si>
  <si>
    <t>2015-2025 F-150 6.5' Bed</t>
  </si>
  <si>
    <t>2015-2022 Chevy/GMC Canyon/Colorado 5'3" Bed</t>
  </si>
  <si>
    <t>2022-2025 Tundra (W/ or W/O Deck Rail System) 5'5" Bed</t>
  </si>
  <si>
    <t>2017-2025 F250/350 Super Duty 6.8' Bed</t>
  </si>
  <si>
    <t>2015-2019 SILVERADO 2500 / SIERRA 2500 5'8" bed</t>
  </si>
  <si>
    <t>2016-2023 Tacoma (W/ or W/O Deck Rail System) 5' Bed</t>
  </si>
  <si>
    <t>2009-2014 F150 5'5" Bed</t>
  </si>
  <si>
    <t>2008-2006 F250/350 Super Duty 6.9' Bed</t>
  </si>
  <si>
    <t>2024-2025 Tacoma (W/ or W/O Deck Rail System) 5' Bed</t>
  </si>
  <si>
    <t>2024-2025 Tacoma (W/ or W/O Deck Rail System) 6' Bed</t>
  </si>
  <si>
    <t>2020-2025 Silverado/Sierra 2500/3500 6.5' Bed</t>
  </si>
  <si>
    <t>2019-2023 RAM 2500/3500 6.4' Bed</t>
  </si>
  <si>
    <t>2022-2025 Tundra (W/ or W/O Deck Rail System) 6.6' Bed</t>
  </si>
  <si>
    <t>2016-2023 Tacoma (W/ or W/O Deck Rail System) 6' Bed</t>
  </si>
  <si>
    <t>2009-2014 F150 6.5' Bed</t>
  </si>
  <si>
    <t>2009-2018 RAM 1500; 2019-2023 Classic 5'7" Bed</t>
  </si>
  <si>
    <t>2009-2018 RAM 1500; 2019-2023 Classic 6.4' Bed</t>
  </si>
  <si>
    <t>2014-2018 Silverado/Sierra 1500; 2019 Silverado 1500 LD 6.5' Bed</t>
  </si>
  <si>
    <t>2014-2018 Silverado/Sierra 1500; 2019 Silverado 1500 LD 5'8" Bed</t>
  </si>
  <si>
    <t>2015-2025 F150; 2022-2025 F150 Lightning EV 5'5" Bed</t>
  </si>
  <si>
    <t>2019-2025 RAM 1500 (New Body) 5'7" Bed</t>
  </si>
  <si>
    <t>2019-2025 Silverado/Sierra 1500 6.5' Bed</t>
  </si>
  <si>
    <t>2019-2023 RAM 1500 (new body) 6.4' Bed</t>
  </si>
  <si>
    <t>2010-2018 RAM 2500/3500 6.4' Bed</t>
  </si>
  <si>
    <t>2007-2021 Tundra (W/ or W/O Deck Rail System) 6.5' Bed</t>
  </si>
  <si>
    <t>2007-2021 Tundra (W/ or W/O Deck Rail System) 5'5" Bed</t>
  </si>
  <si>
    <t>2015-2025 F150; 2022-2025 F150 Lightning EV 6.5' Bed</t>
  </si>
  <si>
    <t>4Runner Limited 2010-2023; 4Runner Limited &amp; SR5 2010-2013 (Excl Trail Edition)</t>
  </si>
  <si>
    <t>2024 Tacoma Double Cab</t>
  </si>
  <si>
    <t>Tundra Crewmax 2007-2021</t>
  </si>
  <si>
    <t>Ram 1500 Crew Cab 2009-2018; 1500 Classic Crew Cab 2019-2024; 2500/3500 Crew Cab 2010-2024</t>
  </si>
  <si>
    <t>25+ 4Runner SR5/TRD/TRD Pro, Limited</t>
  </si>
  <si>
    <t>2024 Toyota Land Cruiser</t>
  </si>
  <si>
    <t>4Runner SR5 &amp; TRD 2014-2023; Trail Edition 2010-2017 (Excl. Limited)</t>
  </si>
  <si>
    <t>F-150 SuperCab 2015-2025; F-250/350 SuperCab 2017-2025</t>
  </si>
  <si>
    <t>F-150 SuperCrew 2015-2025; F-250/350 Crew Cab 2017-2025</t>
  </si>
  <si>
    <t>Ram 1500 Crew Cab 2019-2025 (Excl. 2019+ 1500 Classic)</t>
  </si>
  <si>
    <t>Ram 1500 Quad Cab 2019-2025 (Excl. 2019+ 1500 Classic)</t>
  </si>
  <si>
    <t>Bronco 4dr (Excl. Bronco Sport) 2021-2025</t>
  </si>
  <si>
    <t>Sprinter 2007-2025 144" Wheelbase</t>
  </si>
  <si>
    <t>Sprinter 2007-2025</t>
  </si>
  <si>
    <t>Ram 1500 Crew Cab 2009-2018; 1500 Classic Crew Cab 2019-2024; 2500/3500 Crew Cab 2010-2025 (Excl. Cab Chassis w/Def Tank)</t>
  </si>
  <si>
    <t>Silverado/Sierra 1500 Crew Cab 2014-2018 (Rocker Mount); 2500/3500 Crew Cab 2015-2019 (Excl. Diesel)</t>
  </si>
  <si>
    <t>Pro-E Running Board Replacement Control Unit</t>
  </si>
  <si>
    <t>Pro-E Running Board LED Light Kit (Contains 4 Lights)</t>
  </si>
  <si>
    <t>All Pro-E Except Ford Bronco 2dr (A-11.81in, B-27.56in, Total-59.06in)</t>
  </si>
  <si>
    <t>2021-2023 Bronco 2dr</t>
  </si>
  <si>
    <t>Pro-E Motor 02R</t>
  </si>
  <si>
    <t>Pro-E Motor 02L</t>
  </si>
  <si>
    <t>Pro-E Motor 03R</t>
  </si>
  <si>
    <t>Pro-E Motor 03L</t>
  </si>
  <si>
    <t>Pro-E Motor 15R</t>
  </si>
  <si>
    <t>Pro-E Motor 15L</t>
  </si>
  <si>
    <t>Pro-E Motor 16R</t>
  </si>
  <si>
    <t>Pro-E Motor 16L</t>
  </si>
  <si>
    <t>Pro-E Motor 17R</t>
  </si>
  <si>
    <t>Pro-E Motor 17L</t>
  </si>
  <si>
    <t>Pro-E Motor 18R</t>
  </si>
  <si>
    <t>Pro-E Motor N03R</t>
  </si>
  <si>
    <t>Pro-E Motor N03L</t>
  </si>
  <si>
    <t>Pro-E Motor N15R</t>
  </si>
  <si>
    <t>Pro-E Motor N15L</t>
  </si>
  <si>
    <t>Pro-E Motor N16R</t>
  </si>
  <si>
    <t>Pro-E Motor N16L</t>
  </si>
  <si>
    <t>Pro-E Motor 18L</t>
  </si>
  <si>
    <t>Sprinter 2007-2022 144" Wheelbase</t>
  </si>
  <si>
    <t>Ram 1500 Crew Cab 2009-2018; Ram 1500 Classic Crew Cab 2019-2023; 2500/3500 Crew Cab 2010-2025 (Excl Cab Chassis w/Def Tanks)</t>
  </si>
  <si>
    <t>Bronco 2021-2025 4dr (Excl. Raptor &amp; Sport)</t>
  </si>
  <si>
    <t>20-25 Ford PIU ; 21-25 Chevy Tahoe, 21-25 Dodge Durango,</t>
  </si>
  <si>
    <t>AR</t>
  </si>
  <si>
    <t>40MM</t>
  </si>
  <si>
    <t>AR/ 870 Shotgun</t>
  </si>
  <si>
    <t>Partition</t>
  </si>
  <si>
    <t>Universal</t>
  </si>
  <si>
    <t>Universal Mounting Brackets For Use With Raptor Gun Racks</t>
  </si>
  <si>
    <t>Universal Magnetic Bandolier For 40mm Ammo</t>
  </si>
  <si>
    <t>40mm</t>
  </si>
  <si>
    <t>Tacoma 2005-2023 (DCSB)</t>
  </si>
  <si>
    <t>F-250/350 2017-2022 (Excl. w/Sensors)</t>
  </si>
  <si>
    <t>F-150 2015-2020 (Excl. Platinum &amp; 2017+ Raptor)(Excl. w/Sensors)</t>
  </si>
  <si>
    <t>F-150 XL/SSV 2015-2020 (Excl. Platinum &amp; 2017+ Raptor)</t>
  </si>
  <si>
    <t>Silverado 1500 2019-2021, 2023-2025; 1500 LTD 2022 (Excl. ZR2 &amp; 2019 LD)(Excl. Diesel)(Excl. W/Sensors)</t>
  </si>
  <si>
    <t>Silverado 1500 2019-2021, 2023-2024 &amp; 1500 LTD 2022 (Excl. ZR2 &amp; 2019 LD)(Excl. W/ Sensors)</t>
  </si>
  <si>
    <t>F-150 2021-2025 (Excl. Platinum, Raptor &amp; 2022+ Lightning EV)(Excl. w/Sensors)</t>
  </si>
  <si>
    <t>F-150 2021-2024 (Excl. Raptor &amp; 2022+ Lightning EV)</t>
  </si>
  <si>
    <t>Accessory for XTS Hitch Mount Tire Carrier</t>
  </si>
  <si>
    <t>Bronco 2021-2025 (Excl. Bronco Sport, Heritage, &amp; Heritage Limited)</t>
  </si>
  <si>
    <t>Bronco 2021-2025 (Excl. Bronco Sport &amp; Raptor)</t>
  </si>
  <si>
    <t>Bronco 2021-2025 (Excl. Bronco Sport, Heritage &amp; Heritage Limited)(W/ Ford Performance Heavy-Duty Modular Front Bumper</t>
  </si>
  <si>
    <t>Bronco 2021-2025 (Excl. Bronco Sport) W/ XTS Front Bumper</t>
  </si>
  <si>
    <t>Ram 1500 Crew Cab 2012-2024; 1500 Classic Crew Cab 2012-2024; 2500/3500 Crew/Mega Cab 2012-2024</t>
  </si>
  <si>
    <t>Ram 1500 Quad Cab 2002-2018; Ram 1500 Classic Quad Cab 2002-2018; Ram 2500/3500 Quad Cab 2010-2020</t>
  </si>
  <si>
    <t>1500 Crew Cab 2019-2025 (Excl. 2019-2023 Ram 1500 Classic)</t>
  </si>
  <si>
    <t>1500 Quad Cab 2019-2025 (Excl. 2019-2020 Ram 1500 Classic)</t>
  </si>
  <si>
    <t>F-150 SuperCrew 2015-2024; F-250/350 SuperDuty Crew Cab 2015-2024</t>
  </si>
  <si>
    <t>F-150 SuperCab 2015-2024; F-250/3500 SuperDuty Super Cab 2015-2024</t>
  </si>
  <si>
    <t>Avalanche 2007-2014; Suburban/Yukon XL/Yukon Denali XL 2007-2014; Silverado/Sierra Crew Cab 2500/3500 2007-2014; Sierra/Silverado 1500 Crew Cab 2007-2014</t>
  </si>
  <si>
    <t>Silverado/Sierra 2500/3500 Extended Cab 2007-2014 Silverado/Sierra 1500 Extended Cab 2007-2014</t>
  </si>
  <si>
    <t>Silverado/Sierra 1500 Crew Cab 2014-2018; 2500/3500 Crew Cab 2014-2019</t>
  </si>
  <si>
    <t>Silverado/Sierra 1500 Extended Cab 2014-2019; Silverado LD Extended Cab 2019; Sierra 1500 Limited Extended Cab 2019; 2500/3500 Extended Cab  2014-2019</t>
  </si>
  <si>
    <t>Tahoe/Yukon/Yukon Denali/Escalade 2015-2020</t>
  </si>
  <si>
    <t>Colorado/Canyon Crew Cab 2015-2020</t>
  </si>
  <si>
    <t>Silverado/Sierra 1500 Extended Cab 2019-2025 (Excl. 2019 Silverado LD/Sierra 1500 Limited)</t>
  </si>
  <si>
    <t>Wrangler JL Unlimited 4dr 2018-2025; Gladiator 2018-2025</t>
  </si>
  <si>
    <t>Titan XD/Titan Crew Cab 2017-2024</t>
  </si>
  <si>
    <t>Tundra Crew Cab 2007-2021</t>
  </si>
  <si>
    <t>4Runner 2010-2019</t>
  </si>
  <si>
    <t>Colorado/Canyon Crew Cab 2023-2025</t>
  </si>
  <si>
    <t>Silverado 2500HD/3500HD;Sierra 2500HD/3500HD 2020-2025</t>
  </si>
  <si>
    <t>Silverado 1500/2500HD/3500HD /Sierra 1500/2500HD/3500HD Extended Cab 2020-2025</t>
  </si>
  <si>
    <t>Tahoe/Yukon 2021-2024</t>
  </si>
  <si>
    <t>Ranger Crew Cab 2019-2023</t>
  </si>
  <si>
    <t>RAM 2500 / 3500 Crew Cab 2019-2025</t>
  </si>
  <si>
    <r>
      <t xml:space="preserve">ADD (1) PF400H or R - Pathfiner 400 watt quad tone siren, hand-held or remote rotary ctrl, includes </t>
    </r>
    <r>
      <rPr>
        <b/>
        <u/>
        <sz val="12"/>
        <color theme="1"/>
        <rFont val="Arial Narrow"/>
        <family val="2"/>
      </rPr>
      <t>TWO siren speakers</t>
    </r>
    <r>
      <rPr>
        <sz val="12"/>
        <color theme="1"/>
        <rFont val="Arial Narrow"/>
        <family val="2"/>
      </rPr>
      <t xml:space="preserve"> (choice ES100C or AS124), and speaker bracket package - add Rumbler speakers without the need for secondary AMP</t>
    </r>
  </si>
  <si>
    <r>
      <t xml:space="preserve">ADD (1) PF400S17BRK - Pathfiner 400 watt quad tone siren, 17 button multi-color w/rotary ctrl, includes </t>
    </r>
    <r>
      <rPr>
        <b/>
        <u/>
        <sz val="12"/>
        <color theme="1"/>
        <rFont val="Arial Narrow"/>
        <family val="2"/>
      </rPr>
      <t>TWO siren speakers</t>
    </r>
    <r>
      <rPr>
        <sz val="12"/>
        <color theme="1"/>
        <rFont val="Arial Narrow"/>
        <family val="2"/>
      </rPr>
      <t xml:space="preserve"> (choice ES100C or AS124), and speaker bracket package - add Rumbler speakers without the need for secondary AMP</t>
    </r>
  </si>
  <si>
    <r>
      <t>ADD (1) PF400QS17BRK - Pathfiner 400 watt quad tone siren with</t>
    </r>
    <r>
      <rPr>
        <b/>
        <u/>
        <sz val="12"/>
        <color theme="1"/>
        <rFont val="Arial Narrow"/>
        <family val="2"/>
      </rPr>
      <t xml:space="preserve"> Q-TONE built in</t>
    </r>
    <r>
      <rPr>
        <sz val="12"/>
        <color theme="1"/>
        <rFont val="Arial Narrow"/>
        <family val="2"/>
      </rPr>
      <t xml:space="preserve">, 17 button multi-color w/rotary ctrl, includes </t>
    </r>
    <r>
      <rPr>
        <b/>
        <sz val="12"/>
        <color theme="1"/>
        <rFont val="Arial Narrow"/>
        <family val="2"/>
      </rPr>
      <t>TWO siren speakers</t>
    </r>
    <r>
      <rPr>
        <sz val="12"/>
        <color theme="1"/>
        <rFont val="Arial Narrow"/>
        <family val="2"/>
      </rPr>
      <t xml:space="preserve"> (choice ES100C or AS124), and speaker bracket package - Add Rumbler without the need for secondary AMP</t>
    </r>
  </si>
  <si>
    <r>
      <t>ADD (1) PF400QH or R- Pathfiner 400 watt quad tone siren with</t>
    </r>
    <r>
      <rPr>
        <b/>
        <u/>
        <sz val="12"/>
        <color theme="1"/>
        <rFont val="Arial Narrow"/>
        <family val="2"/>
      </rPr>
      <t xml:space="preserve"> Q-TONE built in</t>
    </r>
    <r>
      <rPr>
        <sz val="12"/>
        <color theme="1"/>
        <rFont val="Arial Narrow"/>
        <family val="2"/>
      </rPr>
      <t xml:space="preserve">, Hand Held or remote rotary ctrl, includes </t>
    </r>
    <r>
      <rPr>
        <b/>
        <sz val="12"/>
        <color theme="1"/>
        <rFont val="Arial Narrow"/>
        <family val="2"/>
      </rPr>
      <t>TWO siren speakers</t>
    </r>
    <r>
      <rPr>
        <sz val="12"/>
        <color theme="1"/>
        <rFont val="Arial Narrow"/>
        <family val="2"/>
      </rPr>
      <t xml:space="preserve"> (choice ES100C or AS124), and speaker bracket package - Add Rumbler without the need for secondary AMP </t>
    </r>
  </si>
  <si>
    <r>
      <t xml:space="preserve">Federal Signal (2) MPSC2X-XX Micro Pulse C-Series, </t>
    </r>
    <r>
      <rPr>
        <u/>
        <sz val="12"/>
        <color theme="1"/>
        <rFont val="Arial Narrow"/>
        <family val="2"/>
      </rPr>
      <t>STEADY BURN,</t>
    </r>
    <r>
      <rPr>
        <sz val="12"/>
        <color theme="1"/>
        <rFont val="Arial Narrow"/>
        <family val="2"/>
      </rPr>
      <t xml:space="preserve"> DUAL color, includes surface mount bezel and Stud mount bezel for use with Ford grill pop out.  27 flash patterns and multi unit Sync/alternate, use with PATHFINDER siren, includes (2) light heads </t>
    </r>
  </si>
  <si>
    <r>
      <t xml:space="preserve">Federal Signal DR6***-SMK 6' Running board light, Fully poted to withstand harsh elements, </t>
    </r>
    <r>
      <rPr>
        <b/>
        <u/>
        <sz val="12"/>
        <color theme="1"/>
        <rFont val="Arial Narrow"/>
        <family val="2"/>
      </rPr>
      <t>SMOKED LENS</t>
    </r>
    <r>
      <rPr>
        <sz val="12"/>
        <color theme="1"/>
        <rFont val="Arial Narrow"/>
        <family val="2"/>
      </rPr>
      <t xml:space="preserve"> TRI-color with individual control of each individual module, flash single, dual, or tri-color functions. (Single Item)</t>
    </r>
  </si>
  <si>
    <r>
      <t xml:space="preserve">Federal Signal DR5***-SMK 5' Running board light, Fully poted to withstand harsh elements, </t>
    </r>
    <r>
      <rPr>
        <b/>
        <u/>
        <sz val="12"/>
        <color theme="1"/>
        <rFont val="Arial Narrow"/>
        <family val="2"/>
      </rPr>
      <t>SMOKED LENS</t>
    </r>
    <r>
      <rPr>
        <sz val="12"/>
        <color theme="1"/>
        <rFont val="Arial Narrow"/>
        <family val="2"/>
      </rPr>
      <t xml:space="preserve"> TRI-color with individual control of each individual module, flash single, dual, or tri-color functions. (Single Item)</t>
    </r>
  </si>
  <si>
    <t>Code3 Lightbars</t>
  </si>
  <si>
    <t>Code 3 Perimeter Lighting</t>
  </si>
  <si>
    <t xml:space="preserve">P1000UINT20AOSB        </t>
  </si>
  <si>
    <t xml:space="preserve">P1000UINT20A               </t>
  </si>
  <si>
    <t xml:space="preserve">P1000T21AOSB              </t>
  </si>
  <si>
    <t>P1000T21A</t>
  </si>
  <si>
    <t xml:space="preserve">PRPSP4704UINT20A       </t>
  </si>
  <si>
    <t xml:space="preserve">PRPSP5704T21A             </t>
  </si>
  <si>
    <t xml:space="preserve">PFW4704UINT20A         </t>
  </si>
  <si>
    <t xml:space="preserve">PFW5704T21A               </t>
  </si>
  <si>
    <t>S4702UINT20</t>
  </si>
  <si>
    <t>S4705UINT20</t>
  </si>
  <si>
    <t>S5705T21OSB</t>
  </si>
  <si>
    <t>S5705T21</t>
  </si>
  <si>
    <t>B5702T21</t>
  </si>
  <si>
    <t>B5705T21</t>
  </si>
  <si>
    <t>CONSOLE DEEP BODY KIT, 2020-2026 FORD INTERCEPTOR UTILITY</t>
  </si>
  <si>
    <t xml:space="preserve">FEDERAL SIGNAL INTEROR DASH LIGHTING </t>
  </si>
  <si>
    <r>
      <rPr>
        <sz val="12"/>
        <color rgb="FFFF0000"/>
        <rFont val="Arial Narrow"/>
        <family val="2"/>
      </rPr>
      <t>**NEW**</t>
    </r>
    <r>
      <rPr>
        <sz val="12"/>
        <color theme="1"/>
        <rFont val="Arial Narrow"/>
        <family val="2"/>
      </rPr>
      <t xml:space="preserve"> EZ Lift Sliding Single Drawer System
With Simplex Lock</t>
    </r>
  </si>
  <si>
    <r>
      <rPr>
        <sz val="12"/>
        <color rgb="FFFF0000"/>
        <rFont val="Arial Narrow"/>
        <family val="2"/>
      </rPr>
      <t xml:space="preserve">**NEW** </t>
    </r>
    <r>
      <rPr>
        <sz val="12"/>
        <color theme="1"/>
        <rFont val="Arial Narrow"/>
        <family val="2"/>
      </rPr>
      <t>EZ Lift Sliding Single Drawer System
With Key Lock</t>
    </r>
  </si>
  <si>
    <r>
      <t xml:space="preserve">PB400 VS Bumper
Full Bumper
Aluminum
Winch-Ready
</t>
    </r>
    <r>
      <rPr>
        <sz val="12"/>
        <color rgb="FFFF0000"/>
        <rFont val="Arial Narrow"/>
        <family val="2"/>
      </rPr>
      <t>*SPECIAL ORDER ITEM, NO RETURNS OR CANCELLATIONS</t>
    </r>
  </si>
  <si>
    <r>
      <t xml:space="preserve">PB450L4
With WHELEN ION
Winch-Ready Bumper
</t>
    </r>
    <r>
      <rPr>
        <sz val="12"/>
        <color rgb="FFFF0000"/>
        <rFont val="Arial Narrow"/>
        <family val="2"/>
      </rPr>
      <t>*SPECIAL ORDER ITEM, NO RETURNS OR CANCELLATIONS</t>
    </r>
  </si>
  <si>
    <r>
      <t xml:space="preserve">PB400 VS Bumper
Full Bumper
Aluminum
Winch-Ready
</t>
    </r>
    <r>
      <rPr>
        <sz val="12"/>
        <color rgb="FFFF0000"/>
        <rFont val="Arial Narrow"/>
        <family val="2"/>
      </rPr>
      <t>*SPECIAL ORDER ITEM, NO RETURNS OR CANCELLATIONS
*DESIGN PENDING</t>
    </r>
  </si>
  <si>
    <r>
      <t xml:space="preserve">CARGO DECK w/ DRAWER SUPER MAX - </t>
    </r>
    <r>
      <rPr>
        <sz val="12"/>
        <color rgb="FFFF0000"/>
        <rFont val="Arial Narrow"/>
        <family val="2"/>
      </rPr>
      <t>FOR USE WITH 2ND ROW SEAT DELETE OPTION CODE ATZ</t>
    </r>
    <r>
      <rPr>
        <sz val="12"/>
        <color theme="1"/>
        <rFont val="Arial Narrow"/>
        <family val="2"/>
      </rPr>
      <t xml:space="preserve">
*NOT COMPATIBLE WITH: SPT Partition
*INCLUDES REQUIRED:
   -Dual Poly Wall for Recessed Panel or XL Front Partition
   -Lower Cargo Deck w/ Rubber Mat
   -Storage Box
   -Door Panel 1pc Driver Side ONLY
*INCLUDES OPTIONAL ACCESSORIES:
   -Upper Cargo Deck
   -TPO Single Replacement Seat w/ Center Pull Seat Belt
   -Door Panel Aluminum 1pc Passenger Side ONLY
   -Window Barrier 2pc Set Horizontal Bars
*DOES NOT INCLUDE REQUIRED:
   -Recessed Panel or XL Front Partition
   -#12VS Rear Partition</t>
    </r>
  </si>
  <si>
    <r>
      <t xml:space="preserve">PB400 VS Aluminum Winch Bumper Full
</t>
    </r>
    <r>
      <rPr>
        <sz val="12"/>
        <color rgb="FFFF0000"/>
        <rFont val="Arial Narrow"/>
        <family val="2"/>
      </rPr>
      <t>*SPECIAL ORDER ITEM, NO RETURNS OR CANCELLATIONS</t>
    </r>
  </si>
  <si>
    <r>
      <t xml:space="preserve">Firearm Mount Transfer Kit
Forward Facing Partition Mount
Without Mount Plate
*ONLY FOR USE WITH:
   </t>
    </r>
    <r>
      <rPr>
        <sz val="12"/>
        <color rgb="FFFF0000"/>
        <rFont val="Arial Narrow"/>
        <family val="2"/>
      </rPr>
      <t>-SPT Single Prisoner Transport Partition Manufactured between Jan 2011-Nov 2018</t>
    </r>
    <r>
      <rPr>
        <sz val="12"/>
        <color theme="1"/>
        <rFont val="Arial Narrow"/>
        <family val="2"/>
      </rPr>
      <t xml:space="preserve">
*RECOMMENDED FOR USE WITH:
   -Double T-Rail System</t>
    </r>
  </si>
  <si>
    <r>
      <t xml:space="preserve">Firearm Mount Transfer Kit
Forward Facing Partition Mount
With Mount Plate
*ONLY FOR USE WITH:
   </t>
    </r>
    <r>
      <rPr>
        <sz val="12"/>
        <color rgb="FFFF0000"/>
        <rFont val="Arial Narrow"/>
        <family val="2"/>
      </rPr>
      <t>-SPT Single Prisoner Transport Partition Manufactured Dec 2018-Present</t>
    </r>
    <r>
      <rPr>
        <sz val="12"/>
        <color theme="1"/>
        <rFont val="Arial Narrow"/>
        <family val="2"/>
      </rPr>
      <t xml:space="preserve">
*RECOMMENDED FOR USE WITH:
   -Double T-Rail System</t>
    </r>
  </si>
  <si>
    <r>
      <t xml:space="preserve">Forward Facing Partition Mount
With Single T-Rail Mount
Universal XL
With #2 Key Override
*ONLY FOR USE WITH:
</t>
    </r>
    <r>
      <rPr>
        <sz val="12"/>
        <color rgb="FFFF0000"/>
        <rFont val="Arial Narrow"/>
        <family val="2"/>
      </rPr>
      <t xml:space="preserve">   -SPT Single Prisoner Transport Partition to Fit Stock Seat  Manufactured Dec 2018-Present</t>
    </r>
  </si>
  <si>
    <r>
      <t xml:space="preserve">Forward Facing Partition Mount
With Single T-Rail Mount
Universal XL
With Handcuff Key Override
*ONLY FOR USE WITH:
</t>
    </r>
    <r>
      <rPr>
        <sz val="12"/>
        <color rgb="FFFF0000"/>
        <rFont val="Arial Narrow"/>
        <family val="2"/>
      </rPr>
      <t xml:space="preserve">   -SPT Single Prisoner Transport Partition to Fit Stock Seat  Manufactured Dec 2018-Present</t>
    </r>
  </si>
  <si>
    <r>
      <t xml:space="preserve">Forward Facing Partition Mount
Dual T-Rail Mount
2 Universal XL
With #2 Key Override
*ONLY FOR USE WITH:
</t>
    </r>
    <r>
      <rPr>
        <sz val="12"/>
        <color rgb="FFFF0000"/>
        <rFont val="Arial Narrow"/>
        <family val="2"/>
      </rPr>
      <t xml:space="preserve">   -SPT Single Prisoner Transport Partition to Fit Stock Seat  Manufactured Dec 2018-Present</t>
    </r>
  </si>
  <si>
    <r>
      <t xml:space="preserve">Forward Facing Partition Mount
Dual T-Rail Mount
2 Universal XL
With Handcuff Key Override
*ONLY FOR USE WITH:
</t>
    </r>
    <r>
      <rPr>
        <sz val="12"/>
        <color rgb="FFFF0000"/>
        <rFont val="Arial Narrow"/>
        <family val="2"/>
      </rPr>
      <t xml:space="preserve">   -SPT Single Prisoner Transport Partition to Fit Stock Seat  Manufactured Dec 2018-Present</t>
    </r>
  </si>
  <si>
    <r>
      <t xml:space="preserve">1" face plate with one switch cut-out </t>
    </r>
    <r>
      <rPr>
        <sz val="12"/>
        <color rgb="FFFF0000"/>
        <rFont val="Arial Narrow"/>
        <family val="2"/>
      </rPr>
      <t>*MINIMUM ORDER OF (5) IS REQUIRED*</t>
    </r>
  </si>
  <si>
    <r>
      <t xml:space="preserve">1" (1) 1 x .57 rocker switch </t>
    </r>
    <r>
      <rPr>
        <sz val="12"/>
        <color rgb="FFFF0000"/>
        <rFont val="Arial Narrow"/>
        <family val="2"/>
      </rPr>
      <t>*MINIMUM ORDER OF (5) IS REQUIRED*</t>
    </r>
  </si>
  <si>
    <r>
      <t xml:space="preserve">1" (1) .49 dia. toggle switch hole, centered </t>
    </r>
    <r>
      <rPr>
        <sz val="12"/>
        <color rgb="FFFF0000"/>
        <rFont val="Arial Narrow"/>
        <family val="2"/>
      </rPr>
      <t>*MINIMUM ORDER OF (5) IS REQUIRED*</t>
    </r>
  </si>
  <si>
    <r>
      <t xml:space="preserve">2" face plate with one DC outlet hole; centered on plate </t>
    </r>
    <r>
      <rPr>
        <sz val="12"/>
        <color rgb="FFFF0000"/>
        <rFont val="Arial Narrow"/>
        <family val="2"/>
      </rPr>
      <t>*MINIMUM ORDER OF (5) IS REQUIRED*</t>
    </r>
  </si>
  <si>
    <r>
      <t xml:space="preserve">Universal push bumper light bracket 45 degree placement on side of push bumpers to give it more of an angle. </t>
    </r>
    <r>
      <rPr>
        <sz val="12"/>
        <color rgb="FFFF0000"/>
        <rFont val="Arial Narrow"/>
        <family val="2"/>
      </rPr>
      <t>*Order in quantities of two. This item is not sold as a set*</t>
    </r>
  </si>
  <si>
    <r>
      <t xml:space="preserve">2" (1) 1.5 x .88 rocker switch cut-out </t>
    </r>
    <r>
      <rPr>
        <sz val="12"/>
        <color rgb="FFFF0000"/>
        <rFont val="Arial Narrow"/>
        <family val="2"/>
      </rPr>
      <t>*MINIMUM ORDER OF (5) IS REQUIRED*</t>
    </r>
  </si>
  <si>
    <r>
      <t xml:space="preserve">5" Blank filler plate </t>
    </r>
    <r>
      <rPr>
        <sz val="12"/>
        <color rgb="FFFF0000"/>
        <rFont val="Arial Narrow"/>
        <family val="2"/>
      </rPr>
      <t>*MINIMUM ORDER OF (5) IS REQUIRED*</t>
    </r>
  </si>
  <si>
    <r>
      <t>3" one hour meter hole</t>
    </r>
    <r>
      <rPr>
        <sz val="12"/>
        <color rgb="FFFF0000"/>
        <rFont val="Arial Narrow"/>
        <family val="2"/>
      </rPr>
      <t xml:space="preserve"> *MINIMUM ORDER OF (5) IS REQUIRED*</t>
    </r>
  </si>
  <si>
    <r>
      <t xml:space="preserve">3" face plate with two DC outlet holes </t>
    </r>
    <r>
      <rPr>
        <sz val="12"/>
        <color rgb="FFFF0000"/>
        <rFont val="Arial Narrow"/>
        <family val="2"/>
      </rPr>
      <t>*MINIMUM ORDER OF (5) IS REQUIRED*</t>
    </r>
  </si>
  <si>
    <r>
      <t xml:space="preserve">2" (3) 1.48 x .85 rocker switches, (1) DC outlet </t>
    </r>
    <r>
      <rPr>
        <sz val="12"/>
        <color rgb="FFFF0000"/>
        <rFont val="Arial Narrow"/>
        <family val="2"/>
      </rPr>
      <t>*MINIMUM ORDER OF (5) IS REQUIRED*</t>
    </r>
  </si>
  <si>
    <r>
      <t xml:space="preserve">2" (3) 1.48 x .85 rocker switches, (2) DC outlets </t>
    </r>
    <r>
      <rPr>
        <sz val="12"/>
        <color rgb="FFFF0000"/>
        <rFont val="Arial Narrow"/>
        <family val="2"/>
      </rPr>
      <t>*MINIMUM ORDER OF (5) IS REQUIRED*</t>
    </r>
  </si>
  <si>
    <r>
      <t xml:space="preserve">1" face plate with three switch cut-out </t>
    </r>
    <r>
      <rPr>
        <sz val="12"/>
        <color rgb="FFFF0000"/>
        <rFont val="Arial Narrow"/>
        <family val="2"/>
      </rPr>
      <t>*MINIMUM ORDER OF (5) IS REQUIRED*</t>
    </r>
  </si>
  <si>
    <r>
      <t xml:space="preserve">2" face plate with three switch cut-outs </t>
    </r>
    <r>
      <rPr>
        <sz val="12"/>
        <color rgb="FFFF0000"/>
        <rFont val="Arial Narrow"/>
        <family val="2"/>
      </rPr>
      <t>*MINIMUM ORDER OF (5) IS REQUIRED*</t>
    </r>
  </si>
  <si>
    <r>
      <t xml:space="preserve">2" one Kussmaul USB, three DC outlet holes. Works with USBC outlets </t>
    </r>
    <r>
      <rPr>
        <sz val="12"/>
        <color rgb="FFFF0000"/>
        <rFont val="Arial Narrow"/>
        <family val="2"/>
      </rPr>
      <t>*MINIMUM ORDER OF (5) IS REQUIRED*</t>
    </r>
  </si>
  <si>
    <r>
      <t>2" face plate pre-punched with holes to fit Ram and  Dodge Charger. 2021 OEM USB &amp; 2 DC outlets (2018+ RAM models)</t>
    </r>
    <r>
      <rPr>
        <sz val="12"/>
        <color rgb="FFFF0000"/>
        <rFont val="Arial Narrow"/>
        <family val="2"/>
      </rPr>
      <t xml:space="preserve"> *MINIMUM ORDER OF (5) IS REQUIRED*</t>
    </r>
  </si>
  <si>
    <r>
      <t xml:space="preserve">2" two DC outlet holes, three 1.4 x .8 cutouts. Works with USBC outlets. </t>
    </r>
    <r>
      <rPr>
        <sz val="12"/>
        <color rgb="FFFF0000"/>
        <rFont val="Arial Narrow"/>
        <family val="2"/>
      </rPr>
      <t>*MINIMUM ORDER OF (5) IS REQUIRED*</t>
    </r>
  </si>
  <si>
    <r>
      <t xml:space="preserve">2" (2) .5 x 1 rocker switch cut-outs, centered </t>
    </r>
    <r>
      <rPr>
        <sz val="12"/>
        <color rgb="FFFF0000"/>
        <rFont val="Arial Narrow"/>
        <family val="2"/>
      </rPr>
      <t>*MINIMUM ORDER OF (5) IS REQUIRED*</t>
    </r>
  </si>
  <si>
    <r>
      <t xml:space="preserve">2" (4) 1.48 x .85 rocker switch cut-outs </t>
    </r>
    <r>
      <rPr>
        <sz val="12"/>
        <color rgb="FFFF0000"/>
        <rFont val="Arial Narrow"/>
        <family val="2"/>
      </rPr>
      <t>*MINIMUM ORDER OF (5) IS REQUIRED*</t>
    </r>
  </si>
  <si>
    <r>
      <t xml:space="preserve">2" (5) 1.48 x .85 rocker switch cut-outs </t>
    </r>
    <r>
      <rPr>
        <sz val="12"/>
        <color rgb="FFFF0000"/>
        <rFont val="Arial Narrow"/>
        <family val="2"/>
      </rPr>
      <t>*MINIMUM ORDER OF (5) IS REQUIRED*</t>
    </r>
  </si>
  <si>
    <r>
      <t xml:space="preserve">3" face plate with six switch cut-outs </t>
    </r>
    <r>
      <rPr>
        <sz val="12"/>
        <color rgb="FFFF0000"/>
        <rFont val="Arial Narrow"/>
        <family val="2"/>
      </rPr>
      <t>*MINIMUM ORDER OF (5) IS REQUIRED*</t>
    </r>
  </si>
  <si>
    <r>
      <t xml:space="preserve">6" Blank filler plate </t>
    </r>
    <r>
      <rPr>
        <sz val="12"/>
        <color rgb="FFFF0000"/>
        <rFont val="Arial Narrow"/>
        <family val="2"/>
      </rPr>
      <t>*MINIMUM ORDER OF (5) IS REQUIRED*</t>
    </r>
  </si>
  <si>
    <r>
      <t xml:space="preserve">2" one Kussmaul USB cut-out (1.5 x .8) Works with USBC outlets </t>
    </r>
    <r>
      <rPr>
        <sz val="12"/>
        <color rgb="FFFF0000"/>
        <rFont val="Arial Narrow"/>
        <family val="2"/>
      </rPr>
      <t>*MINIMUM ORDER OF (5) IS REQUIRED*</t>
    </r>
  </si>
  <si>
    <r>
      <t xml:space="preserve">4" (2) AC outlet holes, (3) DC, (3) aux., (1) inverter </t>
    </r>
    <r>
      <rPr>
        <sz val="12"/>
        <color rgb="FFFF0000"/>
        <rFont val="Arial Narrow"/>
        <family val="2"/>
      </rPr>
      <t>*MINIMUM ORDER OF (5) IS REQUIRED*</t>
    </r>
  </si>
  <si>
    <r>
      <t xml:space="preserve">3" Custom design for shallow consoles </t>
    </r>
    <r>
      <rPr>
        <sz val="12"/>
        <color rgb="FFFF0000"/>
        <rFont val="Arial Narrow"/>
        <family val="2"/>
      </rPr>
      <t>*MINIMUM ORDER OF (5) IS REQUIRED*</t>
    </r>
  </si>
  <si>
    <r>
      <t xml:space="preserve">3" 350 scanner </t>
    </r>
    <r>
      <rPr>
        <sz val="12"/>
        <color rgb="FFFF0000"/>
        <rFont val="Arial Narrow"/>
        <family val="2"/>
      </rPr>
      <t>*MINIMUM ORDER OF (5) IS REQUIRED*</t>
    </r>
  </si>
  <si>
    <r>
      <t xml:space="preserve">3" LA-A0355 radio charger </t>
    </r>
    <r>
      <rPr>
        <sz val="12"/>
        <color rgb="FFFF0000"/>
        <rFont val="Arial Narrow"/>
        <family val="2"/>
      </rPr>
      <t>*MINIMUM ORDER OF (5) IS REQUIRED*</t>
    </r>
  </si>
  <si>
    <r>
      <t xml:space="preserve">2" face plate with six switch cut-outs </t>
    </r>
    <r>
      <rPr>
        <sz val="12"/>
        <color rgb="FFFF0000"/>
        <rFont val="Arial Narrow"/>
        <family val="2"/>
      </rPr>
      <t>*MINIMUM ORDER OF (5) IS REQUIRED*</t>
    </r>
  </si>
  <si>
    <r>
      <t xml:space="preserve">7" Blank filler plate </t>
    </r>
    <r>
      <rPr>
        <sz val="12"/>
        <color rgb="FFFF0000"/>
        <rFont val="Arial Narrow"/>
        <family val="2"/>
      </rPr>
      <t>*MINIMUM ORDER OF (5) IS REQUIRED*</t>
    </r>
  </si>
  <si>
    <r>
      <t xml:space="preserve">8" Blank filler plate </t>
    </r>
    <r>
      <rPr>
        <sz val="12"/>
        <color rgb="FFFF0000"/>
        <rFont val="Arial Narrow"/>
        <family val="2"/>
      </rPr>
      <t>*MINIMUM ORDER OF (5) IS REQUIRED*</t>
    </r>
  </si>
  <si>
    <r>
      <t xml:space="preserve">3" Cobra 18 WXST2 scanner </t>
    </r>
    <r>
      <rPr>
        <sz val="12"/>
        <color rgb="FFFF0000"/>
        <rFont val="Arial Narrow"/>
        <family val="2"/>
      </rPr>
      <t>*MINIMUM ORDER OF (5) IS REQUIRED*</t>
    </r>
  </si>
  <si>
    <r>
      <t xml:space="preserve">3" 3997RLS, remote lights/siren controller </t>
    </r>
    <r>
      <rPr>
        <sz val="12"/>
        <color rgb="FFFF0000"/>
        <rFont val="Arial Narrow"/>
        <family val="2"/>
      </rPr>
      <t>*MINIMUM ORDER OF (5) IS REQUIRED*</t>
    </r>
  </si>
  <si>
    <r>
      <t xml:space="preserve">3" Arrow stick 2009 remote head controller </t>
    </r>
    <r>
      <rPr>
        <sz val="12"/>
        <color rgb="FFFF0000"/>
        <rFont val="Arial Narrow"/>
        <family val="2"/>
      </rPr>
      <t>*MINIMUM ORDER OF (5) IS REQUIRED*</t>
    </r>
  </si>
  <si>
    <r>
      <t xml:space="preserve">2" Narrow stick controller </t>
    </r>
    <r>
      <rPr>
        <sz val="12"/>
        <color rgb="FFFF0000"/>
        <rFont val="Arial Narrow"/>
        <family val="2"/>
      </rPr>
      <t>*MINIMUM ORDER OF (5) IS REQUIRED*</t>
    </r>
  </si>
  <si>
    <r>
      <t xml:space="preserve">3" V-CON siren </t>
    </r>
    <r>
      <rPr>
        <sz val="12"/>
        <color rgb="FFFF0000"/>
        <rFont val="Arial Narrow"/>
        <family val="2"/>
      </rPr>
      <t>*MINIMUM ORDER OF (5) IS REQUIRED*</t>
    </r>
  </si>
  <si>
    <r>
      <t xml:space="preserve">4" SC-409 Commander siren remote head </t>
    </r>
    <r>
      <rPr>
        <sz val="12"/>
        <color rgb="FFFF0000"/>
        <rFont val="Arial Narrow"/>
        <family val="2"/>
      </rPr>
      <t>*MINIMUM ORDER OF (5) IS REQUIRED*</t>
    </r>
  </si>
  <si>
    <r>
      <t xml:space="preserve">4" SC-411 Police/Fire siren remote head </t>
    </r>
    <r>
      <rPr>
        <sz val="12"/>
        <color rgb="FFFF0000"/>
        <rFont val="Arial Narrow"/>
        <family val="2"/>
      </rPr>
      <t>*MINIMUM ORDER OF (5) IS REQUIRED*</t>
    </r>
  </si>
  <si>
    <r>
      <t xml:space="preserve">3" CDM750/1250/1550, remote head </t>
    </r>
    <r>
      <rPr>
        <sz val="12"/>
        <color rgb="FFFF0000"/>
        <rFont val="Arial Narrow"/>
        <family val="2"/>
      </rPr>
      <t>*MINIMUM ORDER OF (5) IS REQUIRED*</t>
    </r>
  </si>
  <si>
    <r>
      <t xml:space="preserve">3" Cobra 25 LTD scanner </t>
    </r>
    <r>
      <rPr>
        <sz val="12"/>
        <color rgb="FFFF0000"/>
        <rFont val="Arial Narrow"/>
        <family val="2"/>
      </rPr>
      <t>*MINIMUM ORDER OF (5) IS REQUIRED*</t>
    </r>
  </si>
  <si>
    <r>
      <t xml:space="preserve">3" Cobra 29 LTD scanner </t>
    </r>
    <r>
      <rPr>
        <sz val="12"/>
        <color rgb="FFFF0000"/>
        <rFont val="Arial Narrow"/>
        <family val="2"/>
      </rPr>
      <t>*MINIMUM ORDER OF (5) IS REQUIRED*</t>
    </r>
  </si>
  <si>
    <r>
      <t xml:space="preserve">2" face plate with one AC duplex outlet cut-out (Includes 15 Amp -black duplex outlet) </t>
    </r>
    <r>
      <rPr>
        <sz val="12"/>
        <color rgb="FFFF0000"/>
        <rFont val="Arial Narrow"/>
        <family val="2"/>
      </rPr>
      <t>*MINIMUM ORDER OF (5) IS REQUIRED*</t>
    </r>
  </si>
  <si>
    <r>
      <t xml:space="preserve">3" 5300 ES Radio </t>
    </r>
    <r>
      <rPr>
        <sz val="12"/>
        <color rgb="FFFF0000"/>
        <rFont val="Arial Narrow"/>
        <family val="2"/>
      </rPr>
      <t>*MINIMUM ORDER OF (5) IS REQUIRED*</t>
    </r>
  </si>
  <si>
    <r>
      <t xml:space="preserve">3" 5000 ESL Radio </t>
    </r>
    <r>
      <rPr>
        <sz val="12"/>
        <color rgb="FFFF0000"/>
        <rFont val="Arial Narrow"/>
        <family val="2"/>
      </rPr>
      <t>*MINIMUM ORDER OF (5) IS REQUIRED*</t>
    </r>
  </si>
  <si>
    <r>
      <t xml:space="preserve">4" Siren Rumbler </t>
    </r>
    <r>
      <rPr>
        <sz val="12"/>
        <color rgb="FFFF0000"/>
        <rFont val="Arial Narrow"/>
        <family val="2"/>
      </rPr>
      <t>*MINIMUM ORDER OF (5) IS REQUIRED*</t>
    </r>
  </si>
  <si>
    <r>
      <t xml:space="preserve">3" KRY, Harris CH-721, XG-75M, M7300 </t>
    </r>
    <r>
      <rPr>
        <sz val="12"/>
        <color rgb="FFFF0000"/>
        <rFont val="Arial Narrow"/>
        <family val="2"/>
      </rPr>
      <t>*MINIMUM ORDER OF (5) IS REQUIRED*</t>
    </r>
  </si>
  <si>
    <r>
      <t xml:space="preserve">4" Feniex lightbar/siren control head </t>
    </r>
    <r>
      <rPr>
        <sz val="12"/>
        <color rgb="FFFF0000"/>
        <rFont val="Arial Narrow"/>
        <family val="2"/>
      </rPr>
      <t>*MINIMUM ORDER OF (5) IS REQUIRED*</t>
    </r>
  </si>
  <si>
    <r>
      <t xml:space="preserve">2" Signal Master siren </t>
    </r>
    <r>
      <rPr>
        <sz val="12"/>
        <color rgb="FFFF0000"/>
        <rFont val="Arial Narrow"/>
        <family val="2"/>
      </rPr>
      <t>*MINIMUM ORDER OF (5) IS REQUIRED*</t>
    </r>
  </si>
  <si>
    <r>
      <t xml:space="preserve">3" Switch Pack </t>
    </r>
    <r>
      <rPr>
        <sz val="12"/>
        <color rgb="FFFF0000"/>
        <rFont val="Arial Narrow"/>
        <family val="2"/>
      </rPr>
      <t>*MINIMUM ORDER OF (5) IS REQUIRED*</t>
    </r>
  </si>
  <si>
    <r>
      <t xml:space="preserve">3" Fire Apparatus Intercom System, 3025R </t>
    </r>
    <r>
      <rPr>
        <sz val="12"/>
        <color rgb="FFFF0000"/>
        <rFont val="Arial Narrow"/>
        <family val="2"/>
      </rPr>
      <t>*MINIMUM ORDER OF (5) IS REQUIRED*</t>
    </r>
  </si>
  <si>
    <r>
      <t xml:space="preserve">3" Ericcson GE MDX radio </t>
    </r>
    <r>
      <rPr>
        <sz val="12"/>
        <color rgb="FFFF0000"/>
        <rFont val="Arial Narrow"/>
        <family val="2"/>
      </rPr>
      <t>*MINIMUM ORDER OF (5) IS REQUIRED*</t>
    </r>
  </si>
  <si>
    <r>
      <t>3" XG-100M, CH-721, M700 one-piece</t>
    </r>
    <r>
      <rPr>
        <sz val="12"/>
        <color rgb="FFFF0000"/>
        <rFont val="Arial Narrow"/>
        <family val="2"/>
      </rPr>
      <t xml:space="preserve"> *MINIMUM ORDER OF (5) IS REQUIRED*</t>
    </r>
  </si>
  <si>
    <r>
      <t xml:space="preserve">4" XG-100M, CH100 one-piece </t>
    </r>
    <r>
      <rPr>
        <sz val="12"/>
        <color rgb="FFFF0000"/>
        <rFont val="Arial Narrow"/>
        <family val="2"/>
      </rPr>
      <t>*MINIMUM ORDER OF (5) IS REQUIRED*</t>
    </r>
  </si>
  <si>
    <r>
      <t xml:space="preserve">4" XG-25M one-piece </t>
    </r>
    <r>
      <rPr>
        <sz val="12"/>
        <color rgb="FFFF0000"/>
        <rFont val="Arial Narrow"/>
        <family val="2"/>
      </rPr>
      <t>*MINIMUM ORDER OF (5) IS REQUIRED*</t>
    </r>
  </si>
  <si>
    <r>
      <t xml:space="preserve">4" XG-25M remote head </t>
    </r>
    <r>
      <rPr>
        <sz val="12"/>
        <color rgb="FFFF0000"/>
        <rFont val="Arial Narrow"/>
        <family val="2"/>
      </rPr>
      <t>*MINIMUM ORDER OF (5) IS REQUIRED*</t>
    </r>
  </si>
  <si>
    <r>
      <t xml:space="preserve">ICOP 20/20W Video recorder </t>
    </r>
    <r>
      <rPr>
        <sz val="12"/>
        <color rgb="FFFF0000"/>
        <rFont val="Arial Narrow"/>
        <family val="2"/>
      </rPr>
      <t>*MINIMUM ORDER OF (5) IS REQUIRED*</t>
    </r>
  </si>
  <si>
    <r>
      <t xml:space="preserve">3" TK-730H(B) mobile radio </t>
    </r>
    <r>
      <rPr>
        <sz val="12"/>
        <color rgb="FFFF0000"/>
        <rFont val="Arial Narrow"/>
        <family val="2"/>
      </rPr>
      <t>*MINIMUM ORDER OF (5) IS REQUIRED*</t>
    </r>
  </si>
  <si>
    <r>
      <t xml:space="preserve">3" TK-6110 mobile radio </t>
    </r>
    <r>
      <rPr>
        <sz val="12"/>
        <color rgb="FFFF0000"/>
        <rFont val="Arial Narrow"/>
        <family val="2"/>
      </rPr>
      <t>*MINIMUM ORDER OF (5) IS REQUIRED*</t>
    </r>
  </si>
  <si>
    <r>
      <t xml:space="preserve">3" TK-7150/8150 mobile radio </t>
    </r>
    <r>
      <rPr>
        <sz val="12"/>
        <color rgb="FFFF0000"/>
        <rFont val="Arial Narrow"/>
        <family val="2"/>
      </rPr>
      <t>*MINIMUM ORDER OF (5) IS REQUIRED*</t>
    </r>
  </si>
  <si>
    <r>
      <t xml:space="preserve">2" TK-7160 mobile radio </t>
    </r>
    <r>
      <rPr>
        <sz val="12"/>
        <color rgb="FFFF0000"/>
        <rFont val="Arial Narrow"/>
        <family val="2"/>
      </rPr>
      <t>*MINIMUM ORDER OF (5) IS REQUIRED*</t>
    </r>
  </si>
  <si>
    <r>
      <t xml:space="preserve">2" TK-860 mobile radio </t>
    </r>
    <r>
      <rPr>
        <sz val="12"/>
        <color rgb="FFFF0000"/>
        <rFont val="Arial Narrow"/>
        <family val="2"/>
      </rPr>
      <t>*MINIMUM ORDER OF (5) IS REQUIRED*</t>
    </r>
  </si>
  <si>
    <r>
      <t xml:space="preserve">4" L-3 Flashback 2 Monitor </t>
    </r>
    <r>
      <rPr>
        <sz val="12"/>
        <color rgb="FFFF0000"/>
        <rFont val="Arial Narrow"/>
        <family val="2"/>
      </rPr>
      <t>*MINIMUM ORDER OF (5) IS REQUIRED*</t>
    </r>
  </si>
  <si>
    <r>
      <t xml:space="preserve">4" L-3 Flashback Model 3 </t>
    </r>
    <r>
      <rPr>
        <sz val="12"/>
        <color rgb="FFFF0000"/>
        <rFont val="Arial Narrow"/>
        <family val="2"/>
      </rPr>
      <t>*MINIMUM ORDER OF (5) IS REQUIRED*</t>
    </r>
  </si>
  <si>
    <r>
      <t xml:space="preserve">4" 9000, A9/C9/W9 control head, remote head. </t>
    </r>
    <r>
      <rPr>
        <sz val="12"/>
        <color rgb="FFFF0000"/>
        <rFont val="Arial Narrow"/>
        <family val="2"/>
      </rPr>
      <t>*MINIMUM ORDER OF (5) IS REQUIRED*</t>
    </r>
  </si>
  <si>
    <r>
      <t xml:space="preserve">3" Syntec II STM1050B dash/remote head </t>
    </r>
    <r>
      <rPr>
        <sz val="12"/>
        <color rgb="FFFF0000"/>
        <rFont val="Arial Narrow"/>
        <family val="2"/>
      </rPr>
      <t>*MINIMUM ORDER OF (5) IS REQUIRED*</t>
    </r>
  </si>
  <si>
    <r>
      <t xml:space="preserve">3" RLN4884B dual chargers </t>
    </r>
    <r>
      <rPr>
        <sz val="12"/>
        <color rgb="FFFF0000"/>
        <rFont val="Arial Narrow"/>
        <family val="2"/>
      </rPr>
      <t>*MINIMUM ORDER OF (5) IS REQUIRED*</t>
    </r>
  </si>
  <si>
    <r>
      <t>4" XTL2500/DEK dual design</t>
    </r>
    <r>
      <rPr>
        <sz val="12"/>
        <color rgb="FFFF0000"/>
        <rFont val="Arial Narrow"/>
        <family val="2"/>
      </rPr>
      <t xml:space="preserve"> *MINIMUM ORDER OF (5) IS REQUIRED*</t>
    </r>
  </si>
  <si>
    <r>
      <t xml:space="preserve">4" LCS-800 Light control switch panel </t>
    </r>
    <r>
      <rPr>
        <sz val="12"/>
        <color rgb="FFFF0000"/>
        <rFont val="Arial Narrow"/>
        <family val="2"/>
      </rPr>
      <t>*MINIMUM ORDER OF (5) IS REQUIRED*</t>
    </r>
  </si>
  <si>
    <r>
      <t xml:space="preserve">2" SRS-6 Radio Switcher, Ultrasound 67-D </t>
    </r>
    <r>
      <rPr>
        <sz val="12"/>
        <color rgb="FFFF0000"/>
        <rFont val="Arial Narrow"/>
        <family val="2"/>
      </rPr>
      <t>*MINIMUM ORDER OF (5) IS REQUIRED*</t>
    </r>
  </si>
  <si>
    <r>
      <t xml:space="preserve">3" ETS-P990 Arrow stick </t>
    </r>
    <r>
      <rPr>
        <sz val="12"/>
        <color rgb="FFFF0000"/>
        <rFont val="Arial Narrow"/>
        <family val="2"/>
      </rPr>
      <t>*MINIMUM ORDER OF (5) IS REQUIRED*</t>
    </r>
  </si>
  <si>
    <r>
      <t xml:space="preserve">3" Spectra 07 head, replaced by XTL2500 </t>
    </r>
    <r>
      <rPr>
        <sz val="12"/>
        <color rgb="FFFF0000"/>
        <rFont val="Arial Narrow"/>
        <family val="2"/>
      </rPr>
      <t>*MINIMUM ORDER OF (5) IS REQUIRED*</t>
    </r>
  </si>
  <si>
    <r>
      <t xml:space="preserve">3" 2000 Mobile Two-Way Radio </t>
    </r>
    <r>
      <rPr>
        <sz val="12"/>
        <color rgb="FFFF0000"/>
        <rFont val="Arial Narrow"/>
        <family val="2"/>
      </rPr>
      <t>*MINIMUM ORDER OF (5) IS REQUIRED*</t>
    </r>
  </si>
  <si>
    <r>
      <t xml:space="preserve">4" M8200 Radio, Remote </t>
    </r>
    <r>
      <rPr>
        <sz val="12"/>
        <color rgb="FFFF0000"/>
        <rFont val="Arial Narrow"/>
        <family val="2"/>
      </rPr>
      <t>*MINIMUM ORDER OF (5) IS REQUIRED*</t>
    </r>
  </si>
  <si>
    <r>
      <t xml:space="preserve">4" M8200 Radios, One-Piece </t>
    </r>
    <r>
      <rPr>
        <sz val="12"/>
        <color rgb="FFFF0000"/>
        <rFont val="Arial Narrow"/>
        <family val="2"/>
      </rPr>
      <t>*MINIMUM ORDER OF (5) IS REQUIRED*</t>
    </r>
  </si>
  <si>
    <r>
      <t>4" 940 siren remote head</t>
    </r>
    <r>
      <rPr>
        <sz val="12"/>
        <color rgb="FFFF0000"/>
        <rFont val="Arial Narrow"/>
        <family val="2"/>
      </rPr>
      <t xml:space="preserve"> *MINIMUM ORDER OF (5) IS REQUIRED*</t>
    </r>
  </si>
  <si>
    <r>
      <t xml:space="preserve">3" 350A scanner </t>
    </r>
    <r>
      <rPr>
        <sz val="12"/>
        <color rgb="FFFF0000"/>
        <rFont val="Arial Narrow"/>
        <family val="2"/>
      </rPr>
      <t>*MINIMUM ORDER OF (5) IS REQUIRED*</t>
    </r>
  </si>
  <si>
    <r>
      <t xml:space="preserve">2" 520 XL C.B. Radio </t>
    </r>
    <r>
      <rPr>
        <sz val="12"/>
        <color rgb="FFFF0000"/>
        <rFont val="Arial Narrow"/>
        <family val="2"/>
      </rPr>
      <t>*MINIMUM ORDER OF (5) IS REQUIRED*</t>
    </r>
  </si>
  <si>
    <r>
      <t xml:space="preserve">2" 510 XL C.B. Radio </t>
    </r>
    <r>
      <rPr>
        <sz val="12"/>
        <color rgb="FFFF0000"/>
        <rFont val="Arial Narrow"/>
        <family val="2"/>
      </rPr>
      <t>*MINIMUM ORDER OF (5) IS REQUIRED*</t>
    </r>
  </si>
  <si>
    <r>
      <t xml:space="preserve">2" VX-2200 Radio </t>
    </r>
    <r>
      <rPr>
        <sz val="12"/>
        <color rgb="FFFF0000"/>
        <rFont val="Arial Narrow"/>
        <family val="2"/>
      </rPr>
      <t>*MINIMUM ORDER OF (5) IS REQUIRED*</t>
    </r>
  </si>
  <si>
    <r>
      <t xml:space="preserve">3" VX-4600 Radio </t>
    </r>
    <r>
      <rPr>
        <sz val="12"/>
        <color rgb="FFFF0000"/>
        <rFont val="Arial Narrow"/>
        <family val="2"/>
      </rPr>
      <t>*MINIMUM ORDER OF (5) IS REQUIRED*</t>
    </r>
  </si>
  <si>
    <r>
      <t xml:space="preserve">3" VX-6000 Radio </t>
    </r>
    <r>
      <rPr>
        <sz val="12"/>
        <color rgb="FFFF0000"/>
        <rFont val="Arial Narrow"/>
        <family val="2"/>
      </rPr>
      <t>*MINIMUM ORDER OF (5) IS REQUIRED*</t>
    </r>
  </si>
  <si>
    <r>
      <t xml:space="preserve">3" MCP03 Siren Controller </t>
    </r>
    <r>
      <rPr>
        <sz val="12"/>
        <color rgb="FFFF0000"/>
        <rFont val="Arial Narrow"/>
        <family val="2"/>
      </rPr>
      <t>*MINIMUM ORDER OF (5) IS REQUIRED*</t>
    </r>
  </si>
  <si>
    <r>
      <t xml:space="preserve">3" 10-Switch Control Center </t>
    </r>
    <r>
      <rPr>
        <sz val="12"/>
        <color rgb="FFFF0000"/>
        <rFont val="Arial Narrow"/>
        <family val="2"/>
      </rPr>
      <t>*MINIMUM ORDER OF (5) IS REQUIRED*</t>
    </r>
  </si>
  <si>
    <r>
      <t xml:space="preserve">3" WS-295 Siren </t>
    </r>
    <r>
      <rPr>
        <sz val="12"/>
        <color rgb="FFFF0000"/>
        <rFont val="Arial Narrow"/>
        <family val="2"/>
      </rPr>
      <t>*MINIMUM ORDER OF (5) IS REQUIRED*</t>
    </r>
  </si>
  <si>
    <r>
      <t>3" 295 Hands-free siren</t>
    </r>
    <r>
      <rPr>
        <sz val="12"/>
        <color rgb="FFFF0000"/>
        <rFont val="Arial Narrow"/>
        <family val="2"/>
      </rPr>
      <t xml:space="preserve"> *MINIMUM ORDER OF (5) IS REQUIRED*</t>
    </r>
  </si>
  <si>
    <r>
      <t xml:space="preserve">3" Epsilon EPSL1 Siren </t>
    </r>
    <r>
      <rPr>
        <sz val="12"/>
        <color rgb="FFFF0000"/>
        <rFont val="Arial Narrow"/>
        <family val="2"/>
      </rPr>
      <t>*MINIMUM ORDER OF (5) IS REQUIRED*</t>
    </r>
  </si>
  <si>
    <r>
      <t xml:space="preserve">3" PCCS-9N Switch Pack </t>
    </r>
    <r>
      <rPr>
        <sz val="12"/>
        <color rgb="FFFF0000"/>
        <rFont val="Arial Narrow"/>
        <family val="2"/>
      </rPr>
      <t>*MINIMUM ORDER OF (5) IS REQUIRED*</t>
    </r>
  </si>
  <si>
    <r>
      <t xml:space="preserve">2" PCCS-9RW 6-Button Switch Pack </t>
    </r>
    <r>
      <rPr>
        <sz val="12"/>
        <color rgb="FFFF0000"/>
        <rFont val="Arial Narrow"/>
        <family val="2"/>
      </rPr>
      <t>*MINIMUM ORDER OF (5) IS REQUIRED*</t>
    </r>
  </si>
  <si>
    <r>
      <t>5" Voltage meter cut-out</t>
    </r>
    <r>
      <rPr>
        <sz val="12"/>
        <color rgb="FFFF0000"/>
        <rFont val="Arial Narrow"/>
        <family val="2"/>
      </rPr>
      <t xml:space="preserve"> *MINIMUM ORDER OF (5) IS REQUIRED*</t>
    </r>
  </si>
  <si>
    <r>
      <t xml:space="preserve">Pyramid SVR-200 Repeater </t>
    </r>
    <r>
      <rPr>
        <sz val="12"/>
        <color rgb="FFFF0000"/>
        <rFont val="Arial Narrow"/>
        <family val="2"/>
      </rPr>
      <t>*MINIMUM ORDER OF (5) IS REQUIRED*</t>
    </r>
  </si>
  <si>
    <r>
      <t>Pyramid SVR-250 Repeater</t>
    </r>
    <r>
      <rPr>
        <sz val="12"/>
        <color rgb="FFFF0000"/>
        <rFont val="Arial Narrow"/>
        <family val="2"/>
      </rPr>
      <t xml:space="preserve"> *MINIMUM ORDER OF (5) IS REQUIRED*</t>
    </r>
  </si>
  <si>
    <r>
      <t xml:space="preserve">2" two DC outlet holes, one AC outlet. AC includes 15 Amp-Black. Works with USBC outlets. </t>
    </r>
    <r>
      <rPr>
        <sz val="12"/>
        <color rgb="FFFF0000"/>
        <rFont val="Arial Narrow"/>
        <family val="2"/>
      </rPr>
      <t>*MINIMUM ORDER OF (5) IS REQUIRED*</t>
    </r>
  </si>
  <si>
    <r>
      <t xml:space="preserve">4" Hot-n-Pop K-9 Temp sensor </t>
    </r>
    <r>
      <rPr>
        <sz val="12"/>
        <color rgb="FFFF0000"/>
        <rFont val="Arial Narrow"/>
        <family val="2"/>
      </rPr>
      <t>*MINIMUM ORDER OF (5) IS REQUIRED*</t>
    </r>
  </si>
  <si>
    <r>
      <rPr>
        <sz val="12"/>
        <color rgb="FF000000"/>
        <rFont val="Arial Narrow"/>
        <family val="2"/>
      </rPr>
      <t>2020-25</t>
    </r>
    <r>
      <rPr>
        <sz val="12"/>
        <color indexed="8"/>
        <rFont val="Arial Narrow"/>
        <family val="2"/>
      </rPr>
      <t xml:space="preserve"> PI Utility electronics tray fence Square-hole punch pattern, 37" wide x 5.6" tall for AC-EB-SL-TRAY only. Use at 6" clearance position.</t>
    </r>
  </si>
  <si>
    <r>
      <t xml:space="preserve">8" 09 Control Head </t>
    </r>
    <r>
      <rPr>
        <sz val="12"/>
        <color rgb="FFFF0000"/>
        <rFont val="Arial Narrow"/>
        <family val="2"/>
      </rPr>
      <t>*MINIMUM ORDER OF (5) IS REQUIRED*</t>
    </r>
  </si>
  <si>
    <r>
      <t xml:space="preserve">7” version of FP-MOTOROLA-09 </t>
    </r>
    <r>
      <rPr>
        <sz val="12"/>
        <color rgb="FFFF0000"/>
        <rFont val="Arial Narrow"/>
        <family val="2"/>
      </rPr>
      <t>*MINIMUM ORDER OF (5) IS REQUIRED*</t>
    </r>
  </si>
  <si>
    <r>
      <t xml:space="preserve">4" RLN4884B single charger </t>
    </r>
    <r>
      <rPr>
        <sz val="12"/>
        <color rgb="FFFF0000"/>
        <rFont val="Arial Narrow"/>
        <family val="2"/>
      </rPr>
      <t>*MINIMUM ORDER OF (5) IS REQUIRED*</t>
    </r>
  </si>
  <si>
    <r>
      <t xml:space="preserve">4" Ray Allen K-9 Temp read-out </t>
    </r>
    <r>
      <rPr>
        <sz val="12"/>
        <color rgb="FFFF0000"/>
        <rFont val="Arial Narrow"/>
        <family val="2"/>
      </rPr>
      <t>*MINIMUM ORDER OF (5) IS REQUIRED*</t>
    </r>
  </si>
  <si>
    <r>
      <t xml:space="preserve">6" Radio speaker cut-out (leave cover on) </t>
    </r>
    <r>
      <rPr>
        <sz val="12"/>
        <color rgb="FFFF0000"/>
        <rFont val="Arial Narrow"/>
        <family val="2"/>
      </rPr>
      <t>*MINIMUM ORDER OF (5) IS REQUIRED*</t>
    </r>
  </si>
  <si>
    <r>
      <t xml:space="preserve">4" XTL5000 one-piece, tilted for better view </t>
    </r>
    <r>
      <rPr>
        <sz val="12"/>
        <color rgb="FFFF0000"/>
        <rFont val="Arial Narrow"/>
        <family val="2"/>
      </rPr>
      <t>*MINIMUM ORDER OF (5) IS REQUIRED*</t>
    </r>
  </si>
  <si>
    <r>
      <t xml:space="preserve">4" NTN7618B dual chargers </t>
    </r>
    <r>
      <rPr>
        <sz val="12"/>
        <color rgb="FFFF0000"/>
        <rFont val="Arial Narrow"/>
        <family val="2"/>
      </rPr>
      <t>*MINIMUM ORDER OF (5) IS REQUIRED*</t>
    </r>
  </si>
  <si>
    <r>
      <t xml:space="preserve">4" NTN9176B single charger </t>
    </r>
    <r>
      <rPr>
        <sz val="12"/>
        <color rgb="FFFF0000"/>
        <rFont val="Arial Narrow"/>
        <family val="2"/>
      </rPr>
      <t>*MINIMUM ORDER OF (5) IS REQUIRED*</t>
    </r>
  </si>
  <si>
    <r>
      <t xml:space="preserve">4" NTN9176B dual chargers </t>
    </r>
    <r>
      <rPr>
        <sz val="12"/>
        <color rgb="FFFF0000"/>
        <rFont val="Arial Narrow"/>
        <family val="2"/>
      </rPr>
      <t>*MINIMUM ORDER OF (5) IS REQUIRED*</t>
    </r>
  </si>
  <si>
    <r>
      <t xml:space="preserve">2020-25 PI Utility passenger side diamond-punched window screen </t>
    </r>
    <r>
      <rPr>
        <sz val="12"/>
        <color rgb="FFFF0000"/>
        <rFont val="Arial Narrow"/>
        <family val="2"/>
      </rPr>
      <t>(ordered separately with PIU single cell kit)</t>
    </r>
  </si>
  <si>
    <r>
      <t>Universal fire extinguisher mounting bracket for rear partition</t>
    </r>
    <r>
      <rPr>
        <sz val="12"/>
        <color rgb="FFFF0000"/>
        <rFont val="Arial Narrow"/>
        <family val="2"/>
      </rPr>
      <t xml:space="preserve"> </t>
    </r>
  </si>
  <si>
    <r>
      <t xml:space="preserve">2021-25 F150 | 2021-25 F250 passenger side diamond-punched window screen </t>
    </r>
    <r>
      <rPr>
        <sz val="12"/>
        <color rgb="FFFF0000"/>
        <rFont val="Arial Narrow"/>
        <family val="2"/>
      </rPr>
      <t>(ordered separately with F150 single cell kit)</t>
    </r>
  </si>
  <si>
    <r>
      <t xml:space="preserve">2020-25 PI Utility rear cage airbag corridor gap panels, set of driver and passenger sides </t>
    </r>
    <r>
      <rPr>
        <sz val="12"/>
        <color rgb="FFFF0000"/>
        <rFont val="Arial Narrow"/>
        <family val="2"/>
      </rPr>
      <t>(does not work with plastic seat)</t>
    </r>
  </si>
  <si>
    <r>
      <t xml:space="preserve">2018-25 Expedition passenger side diamond-punched window screen </t>
    </r>
    <r>
      <rPr>
        <sz val="12"/>
        <color rgb="FFFF0000"/>
        <rFont val="Arial Narrow"/>
        <family val="2"/>
      </rPr>
      <t>(ordered separately with EXPEDITION single cell kit)</t>
    </r>
  </si>
  <si>
    <r>
      <t xml:space="preserve">2020-25 Explorer Civilian filler panel set for CP-20-XPLR-FLR (no charge when ordered with false floor). </t>
    </r>
    <r>
      <rPr>
        <u/>
        <sz val="12"/>
        <color rgb="FF000000"/>
        <rFont val="Arial Narrow"/>
        <family val="2"/>
      </rPr>
      <t>Does not</t>
    </r>
    <r>
      <rPr>
        <sz val="12"/>
        <color indexed="8"/>
        <rFont val="Arial Narrow"/>
        <family val="2"/>
      </rPr>
      <t xml:space="preserve"> work with mounting brackets SB-20-XPLR-BKT.</t>
    </r>
  </si>
  <si>
    <r>
      <t xml:space="preserve">2020-25 PI Utility rear cage airbag corridor gap panels, set of driver and passenger sides </t>
    </r>
    <r>
      <rPr>
        <sz val="12"/>
        <color rgb="FFFF0000"/>
        <rFont val="Arial Narrow"/>
        <family val="2"/>
      </rPr>
      <t>(works with plastic seat)</t>
    </r>
  </si>
  <si>
    <r>
      <t xml:space="preserve">2021-25 F150 | 2021-25 F250 passenger side window guards, welded bars, vertical design </t>
    </r>
    <r>
      <rPr>
        <sz val="12"/>
        <color rgb="FFFF0000"/>
        <rFont val="Arial Narrow"/>
        <family val="2"/>
      </rPr>
      <t>(ordered separately with F150 single cell kit)</t>
    </r>
  </si>
  <si>
    <r>
      <t xml:space="preserve">2020-25 PI Utility passenger side window guard welded bars, horizontal design </t>
    </r>
    <r>
      <rPr>
        <sz val="12"/>
        <color rgb="FFFF0000"/>
        <rFont val="Arial Narrow"/>
        <family val="2"/>
      </rPr>
      <t>(ordered separately with PIU single cell kit)</t>
    </r>
  </si>
  <si>
    <r>
      <t xml:space="preserve">2020-25 PI Utility  passenger side window guard welded bars, vertical design  </t>
    </r>
    <r>
      <rPr>
        <sz val="12"/>
        <color rgb="FFFF0000"/>
        <rFont val="Arial Narrow"/>
        <family val="2"/>
      </rPr>
      <t>(ordered separately with PIU single cell kit)</t>
    </r>
  </si>
  <si>
    <r>
      <t xml:space="preserve">2018-25 Expedition passenger side vertical bar window guard </t>
    </r>
    <r>
      <rPr>
        <sz val="12"/>
        <color rgb="FFFF0000"/>
        <rFont val="Arial Narrow"/>
        <family val="2"/>
      </rPr>
      <t>(ordered separately with EXPEDITION single cell kit)</t>
    </r>
  </si>
  <si>
    <r>
      <t xml:space="preserve">2020-25 PI Utility passenger side polycarbonate window guard </t>
    </r>
    <r>
      <rPr>
        <sz val="12"/>
        <color rgb="FFFF0000"/>
        <rFont val="Arial Narrow"/>
        <family val="2"/>
      </rPr>
      <t>(ordered separately with PIU single cell kit)</t>
    </r>
  </si>
  <si>
    <r>
      <t xml:space="preserve">2020-25 PI Utility passenger side window guard; 2.25" spaced vertical welded bars </t>
    </r>
    <r>
      <rPr>
        <sz val="12"/>
        <color rgb="FFFF0000"/>
        <rFont val="Arial Narrow"/>
        <family val="2"/>
      </rPr>
      <t>(ordered separately with PIU single cell kit)</t>
    </r>
  </si>
  <si>
    <r>
      <t xml:space="preserve">2021-25 Tahoe passenger side window screen, diamond-punched design </t>
    </r>
    <r>
      <rPr>
        <sz val="12"/>
        <color rgb="FFFF0000"/>
        <rFont val="Arial Narrow"/>
        <family val="2"/>
      </rPr>
      <t>(ordered separately with TAHOE single cell kit)</t>
    </r>
  </si>
  <si>
    <r>
      <t xml:space="preserve">2020-25 Ram truck console floor mount; for wide-body consoles </t>
    </r>
    <r>
      <rPr>
        <u/>
        <sz val="12"/>
        <color rgb="FF000000"/>
        <rFont val="Arial Narrow"/>
        <family val="2"/>
      </rPr>
      <t>only</t>
    </r>
    <r>
      <rPr>
        <sz val="12"/>
        <color indexed="8"/>
        <rFont val="Arial Narrow"/>
        <family val="2"/>
      </rPr>
      <t>.</t>
    </r>
  </si>
  <si>
    <r>
      <t xml:space="preserve">2021-25  Tahoe passenger side polycarbonate window guard </t>
    </r>
    <r>
      <rPr>
        <sz val="12"/>
        <color rgb="FFFF0000"/>
        <rFont val="Arial Narrow"/>
        <family val="2"/>
      </rPr>
      <t>(ordered separately with TAHOE single cell kit)</t>
    </r>
  </si>
  <si>
    <r>
      <t xml:space="preserve">2021-25 Tahoe passenger side window guard, welded bars </t>
    </r>
    <r>
      <rPr>
        <sz val="12"/>
        <color rgb="FFFF0000"/>
        <rFont val="Arial Narrow"/>
        <family val="2"/>
      </rPr>
      <t>(ordered separately with TAHOE single cell kit)</t>
    </r>
  </si>
  <si>
    <r>
      <t xml:space="preserve">2020-25 F150 | 2020-25 F250 | 2020-25 F350 | </t>
    </r>
    <r>
      <rPr>
        <sz val="12"/>
        <color rgb="FF000000"/>
        <rFont val="Arial Narrow"/>
        <family val="2"/>
      </rPr>
      <t>2018-25 Expedition</t>
    </r>
    <r>
      <rPr>
        <b/>
        <sz val="12"/>
        <color rgb="FF000000"/>
        <rFont val="Arial Narrow"/>
        <family val="2"/>
      </rPr>
      <t xml:space="preserve"> </t>
    </r>
    <r>
      <rPr>
        <sz val="12"/>
        <color rgb="FF000000"/>
        <rFont val="Arial Narrow"/>
        <family val="2"/>
      </rPr>
      <t xml:space="preserve">console </t>
    </r>
    <r>
      <rPr>
        <sz val="12"/>
        <color indexed="8"/>
        <rFont val="Arial Narrow"/>
        <family val="2"/>
      </rPr>
      <t>floor plate. For bucket seat trucks or factory console removed.</t>
    </r>
  </si>
  <si>
    <r>
      <t xml:space="preserve">2021-25 F150 | 2021-25 F250 passenger side polycarbonate window guards </t>
    </r>
    <r>
      <rPr>
        <sz val="12"/>
        <color rgb="FFFF0000"/>
        <rFont val="Arial Narrow"/>
        <family val="2"/>
      </rPr>
      <t>(ordered separately with F150 single cell kit)</t>
    </r>
  </si>
  <si>
    <r>
      <rPr>
        <sz val="12"/>
        <color rgb="FF000000"/>
        <rFont val="Arial Narrow"/>
        <family val="2"/>
      </rPr>
      <t>2021-25</t>
    </r>
    <r>
      <rPr>
        <b/>
        <sz val="12"/>
        <color rgb="FF000000"/>
        <rFont val="Arial Narrow"/>
        <family val="2"/>
      </rPr>
      <t xml:space="preserve">  </t>
    </r>
    <r>
      <rPr>
        <sz val="12"/>
        <color indexed="8"/>
        <rFont val="Arial Narrow"/>
        <family val="2"/>
      </rPr>
      <t>Durango 3 piece Bent-Frame kick panel assembly with foot pockets.</t>
    </r>
  </si>
  <si>
    <r>
      <t>2021-25  Durango 3 piece Straight-Frame space maker kick panel assembly with foot pockets. Works with</t>
    </r>
    <r>
      <rPr>
        <sz val="12"/>
        <rFont val="Arial Narrow"/>
        <family val="2"/>
      </rPr>
      <t xml:space="preserve"> 2-SAB-DUR-BB.</t>
    </r>
    <r>
      <rPr>
        <sz val="12"/>
        <color indexed="8"/>
        <rFont val="Arial Narrow"/>
        <family val="2"/>
      </rPr>
      <t xml:space="preserve"> </t>
    </r>
  </si>
  <si>
    <r>
      <t xml:space="preserve">2018-25 Durango 3 piece standard partition kick panel assembly with foot pockets. Works with </t>
    </r>
    <r>
      <rPr>
        <sz val="12"/>
        <rFont val="Arial Narrow"/>
        <family val="2"/>
      </rPr>
      <t>2-SAB-DUR-BB.</t>
    </r>
  </si>
  <si>
    <r>
      <rPr>
        <sz val="12"/>
        <color rgb="FF000000"/>
        <rFont val="Arial Narrow"/>
        <family val="2"/>
      </rPr>
      <t xml:space="preserve">2018-25 </t>
    </r>
    <r>
      <rPr>
        <sz val="12"/>
        <color indexed="8"/>
        <rFont val="Arial Narrow"/>
        <family val="2"/>
      </rPr>
      <t xml:space="preserve"> Durango SSV driver and passenger side diamond-punch window guard set  </t>
    </r>
  </si>
  <si>
    <r>
      <t xml:space="preserve">2021-25 Tahoe electronics cover with vents for elevated frame CP-21TH-MNT-EB. </t>
    </r>
    <r>
      <rPr>
        <u/>
        <sz val="12"/>
        <color rgb="FF000000"/>
        <rFont val="Arial Narrow"/>
        <family val="2"/>
      </rPr>
      <t>Does not</t>
    </r>
    <r>
      <rPr>
        <sz val="12"/>
        <color indexed="8"/>
        <rFont val="Arial Narrow"/>
        <family val="2"/>
      </rPr>
      <t xml:space="preserve"> work with AC-EB-SL-TRAY</t>
    </r>
  </si>
  <si>
    <r>
      <t xml:space="preserve">2020-25 PI Utility driver side rear quarter panel locking compartment. </t>
    </r>
    <r>
      <rPr>
        <sz val="12"/>
        <color rgb="FF000000"/>
        <rFont val="Arial Narrow"/>
        <family val="2"/>
      </rPr>
      <t xml:space="preserve">Does </t>
    </r>
    <r>
      <rPr>
        <u/>
        <sz val="12"/>
        <color rgb="FF000000"/>
        <rFont val="Arial Narrow"/>
        <family val="2"/>
      </rPr>
      <t>not</t>
    </r>
    <r>
      <rPr>
        <sz val="12"/>
        <color rgb="FF000000"/>
        <rFont val="Arial Narrow"/>
        <family val="2"/>
      </rPr>
      <t xml:space="preserve"> </t>
    </r>
    <r>
      <rPr>
        <sz val="12"/>
        <color indexed="8"/>
        <rFont val="Arial Narrow"/>
        <family val="2"/>
      </rPr>
      <t>work with cargo deck storage systems</t>
    </r>
  </si>
  <si>
    <r>
      <rPr>
        <sz val="12"/>
        <color rgb="FF000000"/>
        <rFont val="Arial Narrow"/>
        <family val="2"/>
      </rPr>
      <t>2018-25</t>
    </r>
    <r>
      <rPr>
        <sz val="12"/>
        <color indexed="8"/>
        <rFont val="Arial Narrow"/>
        <family val="2"/>
      </rPr>
      <t xml:space="preserve"> Durango driver and passenger side vertical bar window guards </t>
    </r>
    <r>
      <rPr>
        <b/>
        <sz val="12"/>
        <color rgb="FF000000"/>
        <rFont val="Arial Narrow"/>
        <family val="2"/>
      </rPr>
      <t xml:space="preserve"> </t>
    </r>
  </si>
  <si>
    <r>
      <t xml:space="preserve">2018-25 Ford Expedition 7” overhead console; face plates included with console </t>
    </r>
    <r>
      <rPr>
        <sz val="12"/>
        <color rgb="FFFF0000"/>
        <rFont val="Arial Narrow"/>
        <family val="2"/>
      </rPr>
      <t>*</t>
    </r>
    <r>
      <rPr>
        <b/>
        <sz val="12"/>
        <color rgb="FFFF0000"/>
        <rFont val="Arial Narrow"/>
        <family val="2"/>
      </rPr>
      <t>IMPORTANT DISCLAIMER: Civilian Expedition model will require removal of the bluetooth microphone</t>
    </r>
  </si>
  <si>
    <r>
      <t xml:space="preserve">2021-25 Tahoe elevated mounting platform for storage vaults </t>
    </r>
    <r>
      <rPr>
        <sz val="12"/>
        <color rgb="FF000000"/>
        <rFont val="Arial Narrow"/>
        <family val="2"/>
      </rPr>
      <t>(works with CP-GB44248-T3)</t>
    </r>
    <r>
      <rPr>
        <sz val="12"/>
        <color indexed="8"/>
        <rFont val="Arial Narrow"/>
        <family val="2"/>
      </rPr>
      <t xml:space="preserve"> Works with 44"W x 14"H / 40"W x 20"H; Any depth greater than 24” will have an overhang. </t>
    </r>
    <r>
      <rPr>
        <sz val="12"/>
        <rFont val="Arial Narrow"/>
        <family val="2"/>
      </rPr>
      <t>Depths greater than 30” are not advised.</t>
    </r>
  </si>
  <si>
    <r>
      <rPr>
        <sz val="12"/>
        <color rgb="FF000000"/>
        <rFont val="Arial Narrow"/>
        <family val="2"/>
      </rPr>
      <t xml:space="preserve">2021-25 F150 | 2021-25 F250 </t>
    </r>
    <r>
      <rPr>
        <sz val="12"/>
        <color indexed="8"/>
        <rFont val="Arial Narrow"/>
        <family val="2"/>
      </rPr>
      <t xml:space="preserve">truck standard partition mounting kit, no-holes-drilled design.  </t>
    </r>
  </si>
  <si>
    <r>
      <t>CP-U-4030-TRAY</t>
    </r>
    <r>
      <rPr>
        <sz val="12"/>
        <color rgb="FFFF0000"/>
        <rFont val="Arial Narrow"/>
        <family val="2"/>
      </rPr>
      <t xml:space="preserve"> </t>
    </r>
  </si>
  <si>
    <r>
      <rPr>
        <sz val="12"/>
        <color rgb="FF000000"/>
        <rFont val="Arial Narrow"/>
        <family val="2"/>
      </rPr>
      <t xml:space="preserve">2020-25 </t>
    </r>
    <r>
      <rPr>
        <sz val="12"/>
        <color indexed="8"/>
        <rFont val="Arial Narrow"/>
        <family val="2"/>
      </rPr>
      <t xml:space="preserve">PI Utility electronics tray,  37.5" wide x 23.6" long. </t>
    </r>
  </si>
  <si>
    <r>
      <rPr>
        <sz val="12"/>
        <color rgb="FF000000"/>
        <rFont val="Arial Narrow"/>
        <family val="2"/>
      </rPr>
      <t>2021-25</t>
    </r>
    <r>
      <rPr>
        <sz val="12"/>
        <color indexed="8"/>
        <rFont val="Arial Narrow"/>
        <family val="2"/>
      </rPr>
      <t xml:space="preserve"> Durango partition mounting kit, 100% seat slide, extra seat-back recline, no holes-drilled design.</t>
    </r>
  </si>
  <si>
    <r>
      <rPr>
        <sz val="12"/>
        <color rgb="FF000000"/>
        <rFont val="Arial Narrow"/>
        <family val="2"/>
      </rPr>
      <t>2021-25</t>
    </r>
    <r>
      <rPr>
        <sz val="12"/>
        <color indexed="8"/>
        <rFont val="Arial Narrow"/>
        <family val="2"/>
      </rPr>
      <t xml:space="preserve"> Durango partition mounting kit, 100% seal slide, extra seat-back recline, no holes-drilled design.</t>
    </r>
  </si>
  <si>
    <r>
      <t xml:space="preserve">2021-25 F150 </t>
    </r>
    <r>
      <rPr>
        <sz val="12"/>
        <rFont val="Arial Narrow"/>
        <family val="2"/>
      </rPr>
      <t xml:space="preserve">| 2023-25 F250 | 2023-25 F350 </t>
    </r>
    <r>
      <rPr>
        <sz val="12"/>
        <color indexed="8"/>
        <rFont val="Arial Narrow"/>
        <family val="2"/>
      </rPr>
      <t xml:space="preserve">7" overhead console  </t>
    </r>
  </si>
  <si>
    <r>
      <t xml:space="preserve">2018-25 Expedition Max cargo mount, 5-piece system.  </t>
    </r>
    <r>
      <rPr>
        <u/>
        <sz val="12"/>
        <rFont val="Arial Narrow"/>
        <family val="2"/>
      </rPr>
      <t>Does not</t>
    </r>
    <r>
      <rPr>
        <sz val="12"/>
        <rFont val="Arial Narrow"/>
        <family val="2"/>
      </rPr>
      <t xml:space="preserve"> allow access to spare tire. </t>
    </r>
    <r>
      <rPr>
        <b/>
        <sz val="12"/>
        <color rgb="FFFF0000"/>
        <rFont val="Arial Narrow"/>
        <family val="2"/>
      </rPr>
      <t>*IMPORTANT</t>
    </r>
    <r>
      <rPr>
        <sz val="12"/>
        <color rgb="FFFF0000"/>
        <rFont val="Arial Narrow"/>
        <family val="2"/>
      </rPr>
      <t xml:space="preserve"> </t>
    </r>
    <r>
      <rPr>
        <b/>
        <sz val="12"/>
        <color rgb="FFFF0000"/>
        <rFont val="Arial Narrow"/>
        <family val="2"/>
      </rPr>
      <t xml:space="preserve">DISCLAIMER: Vehicle must have third row seat for OEM mounting point. </t>
    </r>
  </si>
  <si>
    <r>
      <t xml:space="preserve">2018-25 Expedition cargo mount, 5-piece system. </t>
    </r>
    <r>
      <rPr>
        <u/>
        <sz val="12"/>
        <color rgb="FF000000"/>
        <rFont val="Arial Narrow"/>
        <family val="2"/>
      </rPr>
      <t>Does not</t>
    </r>
    <r>
      <rPr>
        <sz val="12"/>
        <color indexed="8"/>
        <rFont val="Arial Narrow"/>
        <family val="2"/>
      </rPr>
      <t xml:space="preserve"> allow access to spare tire.</t>
    </r>
  </si>
  <si>
    <r>
      <t xml:space="preserve">U bracket mount with swing arm and laptop tray up to 15" wide. </t>
    </r>
    <r>
      <rPr>
        <sz val="12"/>
        <rFont val="Arial Narrow"/>
        <family val="2"/>
      </rPr>
      <t>Includes CM-LT1600.</t>
    </r>
  </si>
  <si>
    <r>
      <t xml:space="preserve">Short U bracket mount with swing arm and laptop tray up to 15" wide. </t>
    </r>
    <r>
      <rPr>
        <sz val="12"/>
        <rFont val="Arial Narrow"/>
        <family val="2"/>
      </rPr>
      <t>Includes CM-LT1600.</t>
    </r>
  </si>
  <si>
    <r>
      <t xml:space="preserve">Console side height adjustable mount with swing arm and laptop tray up to 15" wide. </t>
    </r>
    <r>
      <rPr>
        <sz val="12"/>
        <rFont val="Arial Narrow"/>
        <family val="2"/>
      </rPr>
      <t>Includes CM-LT1600.</t>
    </r>
  </si>
  <si>
    <r>
      <t xml:space="preserve">2020-24 Charger passenger seat with swing arm and laptop tray up to 15" wide. </t>
    </r>
    <r>
      <rPr>
        <sz val="12"/>
        <rFont val="Arial Narrow"/>
        <family val="2"/>
      </rPr>
      <t>Includes CM-LT1600.</t>
    </r>
  </si>
  <si>
    <r>
      <t xml:space="preserve">U bracket mount with slide arm and laptop tray up to 15" wide. </t>
    </r>
    <r>
      <rPr>
        <sz val="12"/>
        <rFont val="Arial Narrow"/>
        <family val="2"/>
      </rPr>
      <t>Includes CM-LT1600.</t>
    </r>
  </si>
  <si>
    <r>
      <t xml:space="preserve">Short U bracket mount with slide arm and laptop tray up to 15" wide. </t>
    </r>
    <r>
      <rPr>
        <sz val="12"/>
        <rFont val="Arial Narrow"/>
        <family val="2"/>
      </rPr>
      <t>Includes CM-LT1600.</t>
    </r>
  </si>
  <si>
    <r>
      <t xml:space="preserve">2020-25 F150 | 2020-25 F250 | 2018-25 Expedition - Height adjustable seat mount with swing arm and laptop tray up to 15" wide. </t>
    </r>
    <r>
      <rPr>
        <sz val="12"/>
        <rFont val="Arial Narrow"/>
        <family val="2"/>
      </rPr>
      <t>Includes CM-LT1600</t>
    </r>
  </si>
  <si>
    <r>
      <t xml:space="preserve">2020-25 Ram passenger seat mount with swing arm and laptop tray up to 15" wide. </t>
    </r>
    <r>
      <rPr>
        <sz val="12"/>
        <rFont val="Arial Narrow"/>
        <family val="2"/>
      </rPr>
      <t>Includes CM-LT1600.</t>
    </r>
  </si>
  <si>
    <r>
      <t xml:space="preserve">2020-25 PI Utility | 2020-25 Explorer Civilian passenger seat mount with swing arm and laptop tray up to 15" wide. </t>
    </r>
    <r>
      <rPr>
        <sz val="12"/>
        <rFont val="Arial Narrow"/>
        <family val="2"/>
      </rPr>
      <t>Includes CM-LT1600</t>
    </r>
  </si>
  <si>
    <r>
      <t xml:space="preserve">Console side height adjustable mount with slide arm and laptop tray up to 15" wide.  </t>
    </r>
    <r>
      <rPr>
        <sz val="12"/>
        <rFont val="Arial Narrow"/>
        <family val="2"/>
      </rPr>
      <t>Includes CM-LT1600.</t>
    </r>
  </si>
  <si>
    <r>
      <t>2018-25 Durango SSV/PPV cargo mount, 5-piece system. C</t>
    </r>
    <r>
      <rPr>
        <sz val="12"/>
        <rFont val="Arial Narrow"/>
        <family val="2"/>
      </rPr>
      <t>ompatible with OEM seat. Maximum depth is 32"</t>
    </r>
  </si>
  <si>
    <r>
      <t xml:space="preserve">2020-24 Charger passenger seat with slide arm and laptop tray up to 15" wide. </t>
    </r>
    <r>
      <rPr>
        <sz val="12"/>
        <rFont val="Arial Narrow"/>
        <family val="2"/>
      </rPr>
      <t>Includes CM-LT1600.</t>
    </r>
  </si>
  <si>
    <r>
      <t xml:space="preserve">2024-25 PI Utility 12" printer console, 4" slope, 8" level faceplate area </t>
    </r>
    <r>
      <rPr>
        <b/>
        <sz val="12"/>
        <color rgb="FFFF0000"/>
        <rFont val="Arial Narrow"/>
        <family val="2"/>
      </rPr>
      <t>*New updated design*</t>
    </r>
  </si>
  <si>
    <r>
      <t>2018-25</t>
    </r>
    <r>
      <rPr>
        <b/>
        <sz val="12"/>
        <color rgb="FFFF0000"/>
        <rFont val="Arial Narrow"/>
        <family val="2"/>
      </rPr>
      <t xml:space="preserve"> </t>
    </r>
    <r>
      <rPr>
        <sz val="12"/>
        <rFont val="Arial Narrow"/>
        <family val="2"/>
      </rPr>
      <t>Expedition Max</t>
    </r>
    <r>
      <rPr>
        <sz val="12"/>
        <color indexed="8"/>
        <rFont val="Arial Narrow"/>
        <family val="2"/>
      </rPr>
      <t xml:space="preserve"> rear partition three-sided design</t>
    </r>
  </si>
  <si>
    <r>
      <t xml:space="preserve">2021-25 F150 | </t>
    </r>
    <r>
      <rPr>
        <sz val="12"/>
        <rFont val="Arial Narrow"/>
        <family val="2"/>
      </rPr>
      <t>2023-25 F250 | 2023-25 F350</t>
    </r>
    <r>
      <rPr>
        <b/>
        <sz val="12"/>
        <color rgb="FFFF0000"/>
        <rFont val="Arial Narrow"/>
        <family val="2"/>
      </rPr>
      <t xml:space="preserve"> </t>
    </r>
    <r>
      <rPr>
        <sz val="12"/>
        <color indexed="8"/>
        <rFont val="Arial Narrow"/>
        <family val="2"/>
      </rPr>
      <t>16" wide-body console; open storage along passenger side;  7" slope, 9" level (no floor plate needed, mounts directly to floor)</t>
    </r>
  </si>
  <si>
    <r>
      <t xml:space="preserve">2023-25 Silverado 1500 upright with mounting kit and solid top channel cover </t>
    </r>
    <r>
      <rPr>
        <b/>
        <sz val="12"/>
        <color rgb="FFFF0000"/>
        <rFont val="Arial Narrow"/>
        <family val="2"/>
      </rPr>
      <t>(Not compatible with 2019-22 models)</t>
    </r>
  </si>
  <si>
    <r>
      <t xml:space="preserve">2024-25 PI Utility 18" printer console, 4" slope, 14" level faceplate area </t>
    </r>
    <r>
      <rPr>
        <b/>
        <sz val="12"/>
        <color rgb="FFFF0000"/>
        <rFont val="Arial Narrow"/>
        <family val="2"/>
      </rPr>
      <t>*New updated design*</t>
    </r>
  </si>
  <si>
    <r>
      <t xml:space="preserve">2020-25 PI Utility | 2020-25 Explorer Civilian passenger seat mount with slide arm and laptop tray up to 15" wide. </t>
    </r>
    <r>
      <rPr>
        <sz val="12"/>
        <rFont val="Arial Narrow"/>
        <family val="2"/>
      </rPr>
      <t>Includes CM-LT1600</t>
    </r>
  </si>
  <si>
    <r>
      <t xml:space="preserve">2020-25 F150 | 2020-25 F250 | 2018-25 Expedition - Height adjustable seat mount with slide arm and laptop tray up to 15" wide. </t>
    </r>
    <r>
      <rPr>
        <sz val="12"/>
        <rFont val="Arial Narrow"/>
        <family val="2"/>
      </rPr>
      <t>Includes CM-LT1600</t>
    </r>
  </si>
  <si>
    <r>
      <t xml:space="preserve">2020-25 Ram passenger seat mount with slide arm and laptop tray up to 15" wide. </t>
    </r>
    <r>
      <rPr>
        <sz val="12"/>
        <rFont val="Arial Narrow"/>
        <family val="2"/>
      </rPr>
      <t>Includes CM-LT1600.</t>
    </r>
  </si>
  <si>
    <r>
      <t xml:space="preserve">2019-25 Silverado passenger seat mount with swing arm and laptop tray up to 15" wide. </t>
    </r>
    <r>
      <rPr>
        <sz val="12"/>
        <rFont val="Arial Narrow"/>
        <family val="2"/>
      </rPr>
      <t>Includes CM-LT1600.</t>
    </r>
  </si>
  <si>
    <r>
      <t xml:space="preserve">2021-25 Tahoe | 2021-24 Suburban passenger seat mount with swing arm and laptop tray up to 15" wide. </t>
    </r>
    <r>
      <rPr>
        <sz val="12"/>
        <rFont val="Arial Narrow"/>
        <family val="2"/>
      </rPr>
      <t>Includes CM-LT1600</t>
    </r>
  </si>
  <si>
    <r>
      <t xml:space="preserve">2020-25 PI Utility Standard tilt-up cargo mount with gas shocks. </t>
    </r>
    <r>
      <rPr>
        <b/>
        <sz val="12"/>
        <color rgb="FFFF0000"/>
        <rFont val="Arial Narrow"/>
        <family val="2"/>
      </rPr>
      <t>*IMPORTANT DISCLAIMER:</t>
    </r>
    <r>
      <rPr>
        <b/>
        <sz val="12"/>
        <color indexed="8"/>
        <rFont val="Arial Narrow"/>
        <family val="2"/>
      </rPr>
      <t xml:space="preserve"> </t>
    </r>
    <r>
      <rPr>
        <b/>
        <sz val="12"/>
        <color rgb="FFFF0000"/>
        <rFont val="Arial Narrow"/>
        <family val="2"/>
      </rPr>
      <t xml:space="preserve">Support brackets are needed when </t>
    </r>
    <r>
      <rPr>
        <b/>
        <u/>
        <sz val="12"/>
        <color rgb="FFFF0000"/>
        <rFont val="Arial Narrow"/>
        <family val="2"/>
      </rPr>
      <t>not</t>
    </r>
    <r>
      <rPr>
        <b/>
        <sz val="12"/>
        <color rgb="FFFF0000"/>
        <rFont val="Arial Narrow"/>
        <family val="2"/>
      </rPr>
      <t xml:space="preserve"> ordering Troy Rear Partition (Part number: CP-UV20-CARGO-#gpbkt)</t>
    </r>
  </si>
  <si>
    <r>
      <t>2020-25 PI Utility Low profile tilt-up cargo mount to access spare tire; flushed with rear tailgate pla</t>
    </r>
    <r>
      <rPr>
        <sz val="12"/>
        <rFont val="Arial Narrow"/>
        <family val="2"/>
      </rPr>
      <t xml:space="preserve">stic trim. Electronics tray will </t>
    </r>
    <r>
      <rPr>
        <u/>
        <sz val="12"/>
        <rFont val="Arial Narrow"/>
        <family val="2"/>
      </rPr>
      <t>not</t>
    </r>
    <r>
      <rPr>
        <sz val="12"/>
        <rFont val="Arial Narrow"/>
        <family val="2"/>
      </rPr>
      <t xml:space="preserve"> work with this mount.</t>
    </r>
  </si>
  <si>
    <r>
      <t>CP-FSWB-GS-SH</t>
    </r>
    <r>
      <rPr>
        <sz val="12"/>
        <color rgb="FFFF0000"/>
        <rFont val="Arial Narrow"/>
        <family val="2"/>
      </rPr>
      <t xml:space="preserve"> </t>
    </r>
  </si>
  <si>
    <r>
      <t xml:space="preserve">2020-25 PI Utility XL tilt-up cargo mount with gas shocks; 7" longer than the standard cargo mount. </t>
    </r>
    <r>
      <rPr>
        <b/>
        <sz val="12"/>
        <color rgb="FFFF0000"/>
        <rFont val="Arial Narrow"/>
        <family val="2"/>
      </rPr>
      <t>*IMPORTANT DISCLAIMER:</t>
    </r>
    <r>
      <rPr>
        <b/>
        <sz val="12"/>
        <color indexed="8"/>
        <rFont val="Arial Narrow"/>
        <family val="2"/>
      </rPr>
      <t xml:space="preserve"> </t>
    </r>
    <r>
      <rPr>
        <b/>
        <sz val="12"/>
        <color rgb="FFFF0000"/>
        <rFont val="Arial Narrow"/>
        <family val="2"/>
      </rPr>
      <t xml:space="preserve">Support brackets are needed when </t>
    </r>
    <r>
      <rPr>
        <b/>
        <u/>
        <sz val="12"/>
        <color rgb="FFFF0000"/>
        <rFont val="Arial Narrow"/>
        <family val="2"/>
      </rPr>
      <t>not</t>
    </r>
    <r>
      <rPr>
        <b/>
        <sz val="12"/>
        <color rgb="FFFF0000"/>
        <rFont val="Arial Narrow"/>
        <family val="2"/>
      </rPr>
      <t xml:space="preserve"> ordering Troy Rear Partition (Part number: CP-UV20-CARGO-XL-#gpbkt)</t>
    </r>
  </si>
  <si>
    <r>
      <t xml:space="preserve">2021-25 Tahoe | 2021-24 Suburban passenger seat mount with slide arm and laptop tray up to 15" wide. </t>
    </r>
    <r>
      <rPr>
        <sz val="12"/>
        <rFont val="Arial Narrow"/>
        <family val="2"/>
      </rPr>
      <t>Includes CM-LT1600</t>
    </r>
  </si>
  <si>
    <r>
      <t>2019-25 Silverado height adjustable seat mount with slide arm and laptop tray up to 15" wide.</t>
    </r>
    <r>
      <rPr>
        <sz val="12"/>
        <color rgb="FFFF0000"/>
        <rFont val="Arial Narrow"/>
        <family val="2"/>
      </rPr>
      <t xml:space="preserve"> </t>
    </r>
    <r>
      <rPr>
        <sz val="12"/>
        <rFont val="Arial Narrow"/>
        <family val="2"/>
      </rPr>
      <t>Includes CM-LT1600.</t>
    </r>
  </si>
  <si>
    <r>
      <t>2024 Silverado EV center console; 07" slope, 11" level</t>
    </r>
    <r>
      <rPr>
        <b/>
        <sz val="12"/>
        <color rgb="FFFF0000"/>
        <rFont val="Arial Narrow"/>
        <family val="2"/>
      </rPr>
      <t xml:space="preserve"> </t>
    </r>
  </si>
  <si>
    <r>
      <t>CP-AR-37146-PB</t>
    </r>
    <r>
      <rPr>
        <sz val="12"/>
        <color rgb="FFFF0000"/>
        <rFont val="Arial Narrow"/>
        <family val="2"/>
      </rPr>
      <t xml:space="preserve"> </t>
    </r>
  </si>
  <si>
    <r>
      <t xml:space="preserve">Eco Line Aluminum Storage Box 44”W x 24”L x 8”H with 1.5” trim, two draw-tight locking handles, carpet top and rubber mat inside of drawer </t>
    </r>
    <r>
      <rPr>
        <sz val="12"/>
        <color rgb="FF000000"/>
        <rFont val="Arial Narrow"/>
        <family val="2"/>
      </rPr>
      <t>(compatible with Ford PIU)</t>
    </r>
  </si>
  <si>
    <r>
      <t>CP-GB202212-PB</t>
    </r>
    <r>
      <rPr>
        <sz val="12"/>
        <color rgb="FFFF0000"/>
        <rFont val="Arial Narrow"/>
        <family val="2"/>
      </rPr>
      <t xml:space="preserve"> </t>
    </r>
  </si>
  <si>
    <r>
      <t>CP-GB203412-PB</t>
    </r>
    <r>
      <rPr>
        <sz val="12"/>
        <color rgb="FFFF0000"/>
        <rFont val="Arial Narrow"/>
        <family val="2"/>
      </rPr>
      <t xml:space="preserve"> </t>
    </r>
  </si>
  <si>
    <r>
      <t xml:space="preserve">Eco Line Aluminum Storage Box 38"W x 24"L x 22"H dual drawer box with two draw-tight locking handles, top 1.5" lip and bottom drawer </t>
    </r>
    <r>
      <rPr>
        <sz val="12"/>
        <color rgb="FF000000"/>
        <rFont val="Arial Narrow"/>
        <family val="2"/>
      </rPr>
      <t>(compatible with Ford PIU)</t>
    </r>
  </si>
  <si>
    <r>
      <t xml:space="preserve">2021-25 Durango plastic seat with OS belts, TROY rear cage poly window with driver side fire extinguisher cubby and square-hole passenger wall. </t>
    </r>
    <r>
      <rPr>
        <sz val="12"/>
        <rFont val="Arial Narrow"/>
        <family val="2"/>
      </rPr>
      <t>Includes air bag corridor gap panels.</t>
    </r>
  </si>
  <si>
    <r>
      <t>2020-25 PI Utility plastic seat with OS belts, rear partition polycarbonate window, square-hole side walls.</t>
    </r>
    <r>
      <rPr>
        <sz val="12"/>
        <rFont val="Arial Narrow"/>
        <family val="2"/>
      </rPr>
      <t xml:space="preserve"> Includes air bag corridor gap panels.</t>
    </r>
  </si>
  <si>
    <r>
      <t>CP-483318-TL</t>
    </r>
    <r>
      <rPr>
        <sz val="12"/>
        <color rgb="FFFF0000"/>
        <rFont val="Arial Narrow"/>
        <family val="2"/>
      </rPr>
      <t xml:space="preserve"> </t>
    </r>
  </si>
  <si>
    <r>
      <rPr>
        <sz val="12"/>
        <color rgb="FF000000"/>
        <rFont val="Arial Narrow"/>
        <family val="2"/>
      </rPr>
      <t>2021-25 Tahoe plastic</t>
    </r>
    <r>
      <rPr>
        <sz val="12"/>
        <color indexed="8"/>
        <rFont val="Arial Narrow"/>
        <family val="2"/>
      </rPr>
      <t xml:space="preserve"> seat with OS belts, rear partition polycarbonate window with fire extinguisher compartment.</t>
    </r>
  </si>
  <si>
    <r>
      <t xml:space="preserve">2021-25 Tahoe plastic seat with OS belts, rear partition polycarbonate window, square-hole side walls. </t>
    </r>
    <r>
      <rPr>
        <sz val="12"/>
        <rFont val="Arial Narrow"/>
        <family val="2"/>
      </rPr>
      <t>Includes air bag corridor gap panels.</t>
    </r>
  </si>
  <si>
    <r>
      <t>2020-25 PI Utility plastic seat with OS belts, rear partition polycarbonate window, with fire compartment.</t>
    </r>
    <r>
      <rPr>
        <b/>
        <sz val="12"/>
        <color indexed="8"/>
        <rFont val="Arial Narrow"/>
        <family val="2"/>
      </rPr>
      <t xml:space="preserve"> </t>
    </r>
    <r>
      <rPr>
        <sz val="12"/>
        <rFont val="Arial Narrow"/>
        <family val="2"/>
      </rPr>
      <t>Includes air bag corridor gap panels.</t>
    </r>
  </si>
  <si>
    <r>
      <t xml:space="preserve">2021-25 Durango plastic seat with OS belts, TROY rear cage poly window with square-hole side walls. </t>
    </r>
    <r>
      <rPr>
        <sz val="12"/>
        <rFont val="Arial Narrow"/>
        <family val="2"/>
      </rPr>
      <t>Includes air bag corridor gap panels.</t>
    </r>
  </si>
  <si>
    <r>
      <t>CP-GB4840-12</t>
    </r>
    <r>
      <rPr>
        <sz val="12"/>
        <color rgb="FFFF0000"/>
        <rFont val="Arial Narrow"/>
        <family val="2"/>
      </rPr>
      <t xml:space="preserve"> </t>
    </r>
  </si>
  <si>
    <r>
      <t>CP-TRAY-403012</t>
    </r>
    <r>
      <rPr>
        <sz val="12"/>
        <color rgb="FFFF0000"/>
        <rFont val="Arial Narrow"/>
        <family val="2"/>
      </rPr>
      <t xml:space="preserve"> </t>
    </r>
  </si>
  <si>
    <r>
      <t>CP-MD-4722</t>
    </r>
    <r>
      <rPr>
        <sz val="12"/>
        <color rgb="FFFF0000"/>
        <rFont val="Arial Narrow"/>
        <family val="2"/>
      </rPr>
      <t xml:space="preserve"> </t>
    </r>
  </si>
  <si>
    <r>
      <t>CP-4422-CTRY-WB</t>
    </r>
    <r>
      <rPr>
        <sz val="12"/>
        <color rgb="FFFF0000"/>
        <rFont val="Arial Narrow"/>
        <family val="2"/>
      </rPr>
      <t xml:space="preserve"> </t>
    </r>
  </si>
  <si>
    <r>
      <t xml:space="preserve">44"W x 22"L; full-size single whiteboard-drawer module </t>
    </r>
    <r>
      <rPr>
        <sz val="12"/>
        <color rgb="FF000000"/>
        <rFont val="Arial Narrow"/>
        <family val="2"/>
      </rPr>
      <t>(compatible with CP-2D-4422-MWFP)</t>
    </r>
  </si>
  <si>
    <r>
      <t xml:space="preserve">2020-25 PI Utility Single Cell with poly window; half cage, kick panel with foot pocket, metal/poly divider with removable </t>
    </r>
    <r>
      <rPr>
        <u/>
        <sz val="12"/>
        <color rgb="FF000000"/>
        <rFont val="Arial Narrow"/>
        <family val="2"/>
      </rPr>
      <t>patent</t>
    </r>
    <r>
      <rPr>
        <sz val="12"/>
        <color indexed="8"/>
        <rFont val="Arial Narrow"/>
        <family val="2"/>
      </rPr>
      <t xml:space="preserve"> panel, center seat floor plate, replacement plastic seat with OS seatbelt system, TROY rear partition square-hole pattern with side panels </t>
    </r>
  </si>
  <si>
    <r>
      <t xml:space="preserve">2020-25 PI Utility Single Cell with poly window; half cage, kick panel with foot pocket, metal/poly divider with removable </t>
    </r>
    <r>
      <rPr>
        <u/>
        <sz val="12"/>
        <color rgb="FF000000"/>
        <rFont val="Arial Narrow"/>
        <family val="2"/>
      </rPr>
      <t>patent</t>
    </r>
    <r>
      <rPr>
        <sz val="12"/>
        <color indexed="8"/>
        <rFont val="Arial Narrow"/>
        <family val="2"/>
      </rPr>
      <t xml:space="preserve"> panel, center seat floor plate, replacement plastic seat with OS seatbelt system, TROY rear partition square-hole pattern with driver side fire extinguisher compartment</t>
    </r>
  </si>
  <si>
    <r>
      <t>2018-25 Expedition Single cell with poly window; half cage, kick panel with foot pocket, metal/poly divider with removable</t>
    </r>
    <r>
      <rPr>
        <u/>
        <sz val="12"/>
        <color rgb="FF000000"/>
        <rFont val="Arial Narrow"/>
        <family val="2"/>
      </rPr>
      <t xml:space="preserve"> patent</t>
    </r>
    <r>
      <rPr>
        <sz val="12"/>
        <color rgb="FF000000"/>
        <rFont val="Arial Narrow"/>
        <family val="2"/>
      </rPr>
      <t xml:space="preserve"> panel, center seat floor plate, replacement plastic seat with OS seatbelt system, TROY rear partition square-hole pattern with side panels</t>
    </r>
  </si>
  <si>
    <r>
      <t xml:space="preserve">2021-25 Tahoe Single cell with poly window; half cage, kick panel with foot pocket, metal/poly divider with removable </t>
    </r>
    <r>
      <rPr>
        <u/>
        <sz val="12"/>
        <color rgb="FF000000"/>
        <rFont val="Arial Narrow"/>
        <family val="2"/>
      </rPr>
      <t>patent</t>
    </r>
    <r>
      <rPr>
        <sz val="12"/>
        <color indexed="8"/>
        <rFont val="Arial Narrow"/>
        <family val="2"/>
      </rPr>
      <t xml:space="preserve"> panel, replacement plastic seat with OS seatbelt system, TROY rear partition square-hole pattern with side panels and passenger side replacement metal door panel(DP-21TH-PS).</t>
    </r>
  </si>
  <si>
    <r>
      <t>CP-MS1-WB</t>
    </r>
    <r>
      <rPr>
        <sz val="12"/>
        <color rgb="FFFF0000"/>
        <rFont val="Arial Narrow"/>
        <family val="2"/>
      </rPr>
      <t xml:space="preserve"> </t>
    </r>
  </si>
  <si>
    <r>
      <t xml:space="preserve">2021-25 Tahoe Single Cell with poly window; half cage, kick panel with foot pocket, metal/poly divider with removable </t>
    </r>
    <r>
      <rPr>
        <u/>
        <sz val="12"/>
        <color rgb="FF000000"/>
        <rFont val="Arial Narrow"/>
        <family val="2"/>
      </rPr>
      <t>patent</t>
    </r>
    <r>
      <rPr>
        <sz val="12"/>
        <color indexed="8"/>
        <rFont val="Arial Narrow"/>
        <family val="2"/>
      </rPr>
      <t xml:space="preserve"> panel, replacement plastic seat with OS seatbelt system, TROY rear partition square-hole pattern with driver side fire extinguisher compartment and passenger side replacement metal door panel(DP-21TH-PS).</t>
    </r>
  </si>
  <si>
    <r>
      <t xml:space="preserve">2020-25 PI Utility poly center divider, full replacement plastic seat with OS seatbelt system, TROY rear partition poly window with square-hole pattern sides. </t>
    </r>
    <r>
      <rPr>
        <sz val="12"/>
        <rFont val="Arial Narrow"/>
        <family val="2"/>
      </rPr>
      <t>Includes air bag corridor gap panels.</t>
    </r>
  </si>
  <si>
    <r>
      <t>CP-2D-403812-PB</t>
    </r>
    <r>
      <rPr>
        <sz val="12"/>
        <color rgb="FFFF0000"/>
        <rFont val="Arial Narrow"/>
        <family val="2"/>
      </rPr>
      <t xml:space="preserve"> </t>
    </r>
  </si>
  <si>
    <r>
      <t>2021-25 Tahoe poly center divider, full replacement plastic seat with OS seatbelt system, TROY rear partition poly window with square-hole pattern sides.</t>
    </r>
    <r>
      <rPr>
        <sz val="12"/>
        <rFont val="Arial Narrow"/>
        <family val="2"/>
      </rPr>
      <t xml:space="preserve"> Includes air bag corridor gap panels.</t>
    </r>
  </si>
  <si>
    <r>
      <t>CP-GB4856-12</t>
    </r>
    <r>
      <rPr>
        <sz val="12"/>
        <color rgb="FFFF0000"/>
        <rFont val="Arial Narrow"/>
        <family val="2"/>
      </rPr>
      <t xml:space="preserve"> </t>
    </r>
  </si>
  <si>
    <r>
      <t>EM-21TH-CRGDCK-SSTK-2DWR-K9</t>
    </r>
    <r>
      <rPr>
        <sz val="12"/>
        <color rgb="FFFF0000"/>
        <rFont val="Arial Narrow"/>
        <family val="2"/>
      </rPr>
      <t xml:space="preserve"> </t>
    </r>
  </si>
  <si>
    <r>
      <t>CP-483512-2D-PB</t>
    </r>
    <r>
      <rPr>
        <sz val="12"/>
        <color rgb="FFFF0000"/>
        <rFont val="Arial Narrow"/>
        <family val="2"/>
      </rPr>
      <t xml:space="preserve"> </t>
    </r>
  </si>
  <si>
    <r>
      <t>CP-3DRWR-PB3</t>
    </r>
    <r>
      <rPr>
        <sz val="12"/>
        <color rgb="FFFF0000"/>
        <rFont val="Arial Narrow"/>
        <family val="2"/>
      </rPr>
      <t xml:space="preserve"> </t>
    </r>
  </si>
  <si>
    <r>
      <t>CP-CMS1-WB</t>
    </r>
    <r>
      <rPr>
        <sz val="12"/>
        <color rgb="FFFF0000"/>
        <rFont val="Arial Narrow"/>
        <family val="2"/>
      </rPr>
      <t xml:space="preserve"> </t>
    </r>
  </si>
  <si>
    <r>
      <t>CP-2SU95</t>
    </r>
    <r>
      <rPr>
        <sz val="12"/>
        <color rgb="FFFF0000"/>
        <rFont val="Arial Narrow"/>
        <family val="2"/>
      </rPr>
      <t xml:space="preserve"> </t>
    </r>
  </si>
  <si>
    <r>
      <t>CP-3D-443023-WB</t>
    </r>
    <r>
      <rPr>
        <sz val="12"/>
        <color rgb="FFFF0000"/>
        <rFont val="Arial Narrow"/>
        <family val="2"/>
      </rPr>
      <t xml:space="preserve"> </t>
    </r>
  </si>
  <si>
    <r>
      <t>CP-UV-COMMAND</t>
    </r>
    <r>
      <rPr>
        <sz val="12"/>
        <color rgb="FFFF0000"/>
        <rFont val="Arial Narrow"/>
        <family val="2"/>
      </rPr>
      <t xml:space="preserve"> </t>
    </r>
  </si>
  <si>
    <r>
      <t>CP-403016-2FD-MD-TV</t>
    </r>
    <r>
      <rPr>
        <sz val="12"/>
        <color rgb="FFFF0000"/>
        <rFont val="Arial Narrow"/>
        <family val="2"/>
      </rPr>
      <t xml:space="preserve"> </t>
    </r>
  </si>
  <si>
    <r>
      <t xml:space="preserve">PB450LR LIGHT-READY PUSH BUMPERS - </t>
    </r>
    <r>
      <rPr>
        <b/>
        <sz val="14"/>
        <color rgb="FFFF0000"/>
        <rFont val="Arial Narrow"/>
        <family val="2"/>
      </rPr>
      <t>WIRING HARNESSES NOT INCLUDED</t>
    </r>
    <r>
      <rPr>
        <b/>
        <sz val="14"/>
        <color theme="1"/>
        <rFont val="Arial Narrow"/>
        <family val="2"/>
      </rPr>
      <t xml:space="preserve">
2 Forward Facing Lights - Standard Configuration</t>
    </r>
  </si>
  <si>
    <r>
      <t xml:space="preserve">PB450LR LIGHT-READY PUSH BUMPERS - </t>
    </r>
    <r>
      <rPr>
        <b/>
        <sz val="14"/>
        <color rgb="FFFF0000"/>
        <rFont val="Arial Narrow"/>
        <family val="2"/>
      </rPr>
      <t>WIRING HARNESSES NOT INCLUDED</t>
    </r>
    <r>
      <rPr>
        <b/>
        <sz val="14"/>
        <color theme="1"/>
        <rFont val="Arial Narrow"/>
        <family val="2"/>
      </rPr>
      <t xml:space="preserve">
4 Lights Total: 2 Forward Facing, 1 Each Side - Standard Configuration</t>
    </r>
  </si>
  <si>
    <r>
      <t xml:space="preserve">PB450LR LIGHT-READY PUSH BUMPERS - </t>
    </r>
    <r>
      <rPr>
        <b/>
        <sz val="14"/>
        <color rgb="FFFF0000"/>
        <rFont val="Arial Narrow"/>
        <family val="2"/>
      </rPr>
      <t>WIRING HARNESSES NOT INCLUDED</t>
    </r>
    <r>
      <rPr>
        <b/>
        <sz val="14"/>
        <color theme="1"/>
        <rFont val="Arial Narrow"/>
        <family val="2"/>
      </rPr>
      <t xml:space="preserve">
6 Lights Total: 4 Forward Facing, 1 Each Side - Standard Configuration</t>
    </r>
  </si>
  <si>
    <r>
      <rPr>
        <b/>
        <sz val="12"/>
        <color rgb="FFFF0000"/>
        <rFont val="Arial Narrow"/>
        <family val="2"/>
      </rPr>
      <t>OPTIONAL ACCESSORY UPGRADES</t>
    </r>
    <r>
      <rPr>
        <b/>
        <sz val="12"/>
        <color theme="1"/>
        <rFont val="Arial Narrow"/>
        <family val="2"/>
      </rPr>
      <t xml:space="preserve">
*REQUIRED: CARGO DECK W/ DRAWER MAX NOT INCLUDED</t>
    </r>
  </si>
  <si>
    <r>
      <t xml:space="preserve">SINGLE PRISONER TRANSPORT PARTITIONS
*INCLUDES Lower Extension Panels
</t>
    </r>
    <r>
      <rPr>
        <b/>
        <sz val="14"/>
        <color rgb="FFFF0000"/>
        <rFont val="Arial Narrow"/>
        <family val="2"/>
      </rPr>
      <t>*NOT COMPATIBLE WITH Rear Window Barrier</t>
    </r>
  </si>
  <si>
    <r>
      <rPr>
        <b/>
        <sz val="14"/>
        <color rgb="FFFF0000"/>
        <rFont val="Arial Narrow"/>
        <family val="2"/>
      </rPr>
      <t>OPTIONAL ACCESSORY UPGRADES</t>
    </r>
    <r>
      <rPr>
        <b/>
        <sz val="14"/>
        <color theme="1"/>
        <rFont val="Arial Narrow"/>
        <family val="2"/>
      </rPr>
      <t xml:space="preserve">
*REQUIRED: CARGO DECK W/ DRAWER MAX NOT INCLUDED</t>
    </r>
  </si>
  <si>
    <r>
      <t xml:space="preserve">SINGLE PRISONER TRANSPORT PARTITIONS
*INCLUDES Lower Extension Panels
*COMPATIBLE With Stock Seats ONLY
</t>
    </r>
    <r>
      <rPr>
        <b/>
        <sz val="14"/>
        <color rgb="FFFF0000"/>
        <rFont val="Arial Narrow"/>
        <family val="2"/>
      </rPr>
      <t>*NOT COMPATIBLE WITH Rear Window Barrier</t>
    </r>
  </si>
  <si>
    <r>
      <t xml:space="preserve">*REQUIRED #12VS Cargo Area Rear Partition NOT INCLUDED
</t>
    </r>
    <r>
      <rPr>
        <b/>
        <sz val="14"/>
        <color rgb="FFFF0000"/>
        <rFont val="Arial Narrow"/>
        <family val="2"/>
      </rPr>
      <t xml:space="preserve">*FOR USE WITHOUT 2ND ROW SEAT DELETE OPTION (CODE:ATZ) </t>
    </r>
  </si>
  <si>
    <r>
      <t xml:space="preserve">*INCLUDES REQUIRED #12VS Cargo Area Rear Partition
</t>
    </r>
    <r>
      <rPr>
        <b/>
        <sz val="14"/>
        <color rgb="FFFF0000"/>
        <rFont val="Arial Narrow"/>
        <family val="2"/>
      </rPr>
      <t>*FOR USE WITHOUT 2ND ROW SEAT DELETE OPTION (CODE:ATZ)</t>
    </r>
  </si>
  <si>
    <r>
      <t xml:space="preserve">STAND ALONE OEM REPLACMENT CONTOUR TRANSPORT SEAT 
</t>
    </r>
    <r>
      <rPr>
        <b/>
        <sz val="14"/>
        <color rgb="FFFF0000"/>
        <rFont val="Arial Narrow"/>
        <family val="2"/>
      </rPr>
      <t>WITH CHILD RESTRAINT ANCHORAGE SYSTEM
FOR USE WITH VEHICLES ORDERED WITH REAR SEAT DELETE OPTION CODE ATZ</t>
    </r>
  </si>
  <si>
    <r>
      <t xml:space="preserve">*REQUIRED #12VS Cargo Area Rear Partition NOT INCLUDED
</t>
    </r>
    <r>
      <rPr>
        <b/>
        <sz val="14"/>
        <color rgb="FFFF0000"/>
        <rFont val="Arial Narrow"/>
        <family val="2"/>
      </rPr>
      <t>*FOR USE WITH VEHICLES ORDERED WITH REAR SEAT DELETE OPTION CODE ATZ</t>
    </r>
  </si>
  <si>
    <r>
      <t xml:space="preserve">CARGO BOX
DUAL DRAWER SYSTEM
</t>
    </r>
    <r>
      <rPr>
        <b/>
        <sz val="14"/>
        <color rgb="FFFF0000"/>
        <rFont val="Arial Narrow"/>
        <family val="2"/>
      </rPr>
      <t>*REQUIRED CARGO REAR DECK</t>
    </r>
  </si>
  <si>
    <r>
      <t xml:space="preserve">CARGO BOX
ELEVATED SINGLE DRAWER SYSTEM
</t>
    </r>
    <r>
      <rPr>
        <b/>
        <sz val="14"/>
        <color rgb="FFFF0000"/>
        <rFont val="Arial Narrow"/>
        <family val="2"/>
      </rPr>
      <t>*REQUIRED #12VS CARGO PARTITION - SOLD SEPARATELY*</t>
    </r>
  </si>
  <si>
    <r>
      <t xml:space="preserve">CARGO DECK
</t>
    </r>
    <r>
      <rPr>
        <b/>
        <sz val="14"/>
        <color rgb="FFFF0000"/>
        <rFont val="Arial Narrow"/>
        <family val="2"/>
      </rPr>
      <t>*REQUIRED #12VS CARGO PARTITION FOR INSTALL - NOT INCLUDED*</t>
    </r>
  </si>
  <si>
    <r>
      <t xml:space="preserve">SINGLE PRISONER TRANSPORT PARTITIONS
*INCLUDES Lower Extension Panels
</t>
    </r>
    <r>
      <rPr>
        <b/>
        <sz val="14"/>
        <color rgb="FFFF0000"/>
        <rFont val="Arial Narrow"/>
        <family val="2"/>
      </rPr>
      <t>*REQUIRES #12VS REAR PARTITION SOLD SEPARATELY</t>
    </r>
  </si>
  <si>
    <r>
      <t xml:space="preserve">FORWARD FACING FIREARM MOUNT SYSTEMS 
TO BE USED WITH SINGLE PRISONER PARTITION - </t>
    </r>
    <r>
      <rPr>
        <b/>
        <sz val="14"/>
        <color rgb="FFFF0000"/>
        <rFont val="Arial Narrow"/>
        <family val="2"/>
      </rPr>
      <t>STOCK SEAT ONLY</t>
    </r>
  </si>
  <si>
    <r>
      <rPr>
        <b/>
        <sz val="14"/>
        <rFont val="Arial Narrow"/>
        <family val="2"/>
      </rPr>
      <t>SINGLE PRISONER TRANSPORT PARTITIONS</t>
    </r>
    <r>
      <rPr>
        <b/>
        <sz val="14"/>
        <color rgb="FFFF0000"/>
        <rFont val="Arial Narrow"/>
        <family val="2"/>
      </rPr>
      <t xml:space="preserve">
</t>
    </r>
    <r>
      <rPr>
        <b/>
        <sz val="14"/>
        <rFont val="Arial Narrow"/>
        <family val="2"/>
      </rPr>
      <t>*INCLUDES Lower Extension Panels</t>
    </r>
    <r>
      <rPr>
        <b/>
        <sz val="14"/>
        <color rgb="FFFF0000"/>
        <rFont val="Arial Narrow"/>
        <family val="2"/>
      </rPr>
      <t xml:space="preserve">
*NOT COMPATIBLE WITH Rear Window Barrier</t>
    </r>
  </si>
  <si>
    <r>
      <t xml:space="preserve">PB400 WINCH READY PUSH BUMPERS
*COMPATIBLE With Dodge Ram Trucks Equipped With Steel Front Fascia ONLY
</t>
    </r>
    <r>
      <rPr>
        <b/>
        <sz val="14"/>
        <color rgb="FFFF0000"/>
        <rFont val="Arial Narrow"/>
        <family val="2"/>
      </rPr>
      <t>*COMPATIBLE WITH MID-FRAME WINCH*</t>
    </r>
  </si>
  <si>
    <r>
      <t xml:space="preserve">XL (EXTRA LEGROOM) PARTITIONS
*INCLUDES XL Recessed Panel &amp; Lower Extension Panel
</t>
    </r>
    <r>
      <rPr>
        <b/>
        <sz val="14"/>
        <color rgb="FFFF0000"/>
        <rFont val="Arial Narrow"/>
        <family val="2"/>
      </rPr>
      <t>*TALL MAN OPTION STANDARD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</si>
</sst>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38" x14ac:knownFonts="1">
    <font>
      <sz val="11"/>
      <color theme="1"/>
      <name val="Calibri"/>
      <family val="2"/>
      <scheme val="minor"/>
    </font>
    <font>
      <sz val="10"/>
      <name val="Verdana"/>
      <family val="2"/>
    </font>
    <font>
      <sz val="11"/>
      <color theme="1"/>
      <name val="Calibri"/>
      <family val="2"/>
      <scheme val="minor"/>
    </font>
    <font>
      <sz val="10"/>
      <color indexed="8"/>
      <name val="Arial"/>
      <family val="2"/>
    </font>
    <font>
      <b/>
      <sz val="12"/>
      <color theme="0"/>
      <name val="Arial Narrow"/>
      <family val="2"/>
    </font>
    <font>
      <sz val="12"/>
      <color theme="1"/>
      <name val="Arial Narrow"/>
      <family val="2"/>
    </font>
    <font>
      <sz val="12"/>
      <name val="Arial Narrow"/>
      <family val="2"/>
    </font>
    <font>
      <b/>
      <sz val="12"/>
      <color theme="1"/>
      <name val="Arial Narrow"/>
      <family val="2"/>
    </font>
    <font>
      <sz val="12"/>
      <color theme="0"/>
      <name val="Arial Narrow"/>
      <family val="2"/>
    </font>
    <font>
      <b/>
      <sz val="12"/>
      <color rgb="FFFF0000"/>
      <name val="Arial Narrow"/>
      <family val="2"/>
    </font>
    <font>
      <u/>
      <sz val="12"/>
      <name val="Arial Narrow"/>
      <family val="2"/>
    </font>
    <font>
      <b/>
      <sz val="16"/>
      <color theme="1"/>
      <name val="Arial Narrow"/>
      <family val="2"/>
    </font>
    <font>
      <b/>
      <sz val="14"/>
      <color theme="1"/>
      <name val="Arial Narrow"/>
      <family val="2"/>
    </font>
    <font>
      <b/>
      <sz val="14"/>
      <name val="Arial Narrow"/>
      <family val="2"/>
    </font>
    <font>
      <sz val="12"/>
      <color rgb="FF222222"/>
      <name val="Arial Narrow"/>
      <family val="2"/>
    </font>
    <font>
      <sz val="11"/>
      <color theme="1"/>
      <name val="Arial Narrow"/>
      <family val="2"/>
    </font>
    <font>
      <sz val="14"/>
      <color theme="1"/>
      <name val="Arial Narrow"/>
      <family val="2"/>
    </font>
    <font>
      <sz val="14"/>
      <name val="Arial Narrow"/>
      <family val="2"/>
    </font>
    <font>
      <b/>
      <sz val="14"/>
      <color rgb="FFFF0000"/>
      <name val="Arial Narrow"/>
      <family val="2"/>
    </font>
    <font>
      <sz val="12"/>
      <color rgb="FF000000"/>
      <name val="Arial Narrow"/>
      <family val="2"/>
    </font>
    <font>
      <b/>
      <sz val="14"/>
      <color theme="0"/>
      <name val="Arial Narrow"/>
      <family val="2"/>
    </font>
    <font>
      <b/>
      <u/>
      <sz val="12"/>
      <color theme="1"/>
      <name val="Arial Narrow"/>
      <family val="2"/>
    </font>
    <font>
      <u/>
      <sz val="12"/>
      <color theme="1"/>
      <name val="Arial Narrow"/>
      <family val="2"/>
    </font>
    <font>
      <b/>
      <sz val="12"/>
      <color rgb="FF000000"/>
      <name val="Arial Narrow"/>
      <family val="2"/>
    </font>
    <font>
      <b/>
      <sz val="12"/>
      <color rgb="FFFFFFFF"/>
      <name val="Arial Narrow"/>
      <family val="2"/>
    </font>
    <font>
      <i/>
      <sz val="12"/>
      <color theme="1"/>
      <name val="Arial Narrow"/>
      <family val="2"/>
    </font>
    <font>
      <sz val="12"/>
      <color rgb="FFFF0000"/>
      <name val="Arial Narrow"/>
      <family val="2"/>
    </font>
    <font>
      <sz val="12"/>
      <color rgb="FF0070C0"/>
      <name val="Arial Narrow"/>
      <family val="2"/>
    </font>
    <font>
      <sz val="12"/>
      <color indexed="8"/>
      <name val="Arial Narrow"/>
      <family val="2"/>
    </font>
    <font>
      <u/>
      <sz val="12"/>
      <color rgb="FF000000"/>
      <name val="Arial Narrow"/>
      <family val="2"/>
    </font>
    <font>
      <b/>
      <sz val="12"/>
      <color indexed="8"/>
      <name val="Arial Narrow"/>
      <family val="2"/>
    </font>
    <font>
      <b/>
      <u/>
      <sz val="12"/>
      <color rgb="FFFF0000"/>
      <name val="Arial Narrow"/>
      <family val="2"/>
    </font>
    <font>
      <b/>
      <sz val="14"/>
      <color rgb="FF000000"/>
      <name val="Arial Narrow"/>
      <family val="2"/>
    </font>
    <font>
      <sz val="14"/>
      <color theme="0"/>
      <name val="Arial Narrow"/>
      <family val="2"/>
    </font>
    <font>
      <b/>
      <i/>
      <sz val="14"/>
      <color theme="1"/>
      <name val="Arial Narrow"/>
      <family val="2"/>
    </font>
    <font>
      <sz val="14"/>
      <color rgb="FFFF0000"/>
      <name val="Arial Narrow"/>
      <family val="2"/>
    </font>
    <font>
      <b/>
      <sz val="14"/>
      <color rgb="FF0070C0"/>
      <name val="Arial Narrow"/>
      <family val="2"/>
    </font>
    <font>
      <b/>
      <i/>
      <sz val="14"/>
      <name val="Arial Narrow"/>
      <family val="2"/>
    </font>
  </fonts>
  <fills count="9">
    <fill>
      <patternFill patternType="none"/>
    </fill>
    <fill>
      <patternFill patternType="gray125"/>
    </fill>
    <fill>
      <patternFill patternType="solid">
        <fgColor theme="6"/>
        <bgColor theme="6"/>
      </patternFill>
    </fill>
    <fill>
      <patternFill patternType="solid">
        <fgColor theme="6" tint="0.79998168889431442"/>
        <bgColor theme="6" tint="0.79998168889431442"/>
      </patternFill>
    </fill>
    <fill>
      <patternFill patternType="solid">
        <fgColor theme="0"/>
        <bgColor indexed="64"/>
      </patternFill>
    </fill>
    <fill>
      <patternFill patternType="solid">
        <fgColor theme="4" tint="0.39997558519241921"/>
        <bgColor indexed="64"/>
      </patternFill>
    </fill>
    <fill>
      <patternFill patternType="solid">
        <fgColor theme="4" tint="0.39997558519241921"/>
        <bgColor theme="6" tint="0.79998168889431442"/>
      </patternFill>
    </fill>
    <fill>
      <patternFill patternType="solid">
        <fgColor theme="4" tint="0.39997558519241921"/>
        <bgColor theme="6"/>
      </patternFill>
    </fill>
    <fill>
      <patternFill patternType="solid">
        <fgColor theme="6"/>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B7B7B8"/>
      </left>
      <right style="thin">
        <color rgb="FFB7B7B8"/>
      </right>
      <top style="thin">
        <color rgb="FFB7B7B8"/>
      </top>
      <bottom style="thin">
        <color rgb="FFB7B7B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s>
  <cellStyleXfs count="17">
    <xf numFmtId="0" fontId="0" fillId="0" borderId="0"/>
    <xf numFmtId="0" fontId="1"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3" fillId="0" borderId="0">
      <alignment vertical="top"/>
    </xf>
    <xf numFmtId="44" fontId="3" fillId="0" borderId="0" applyFont="0" applyFill="0" applyBorder="0" applyAlignment="0" applyProtection="0">
      <alignment vertical="top"/>
    </xf>
    <xf numFmtId="44" fontId="3" fillId="0" borderId="0" applyFont="0" applyFill="0" applyBorder="0" applyAlignment="0" applyProtection="0">
      <alignment vertical="top"/>
    </xf>
    <xf numFmtId="44" fontId="3" fillId="0" borderId="0" applyFont="0" applyFill="0" applyBorder="0" applyAlignment="0" applyProtection="0">
      <alignment vertical="top"/>
    </xf>
    <xf numFmtId="44" fontId="3" fillId="0" borderId="0" applyFont="0" applyFill="0" applyBorder="0" applyAlignment="0" applyProtection="0">
      <alignment vertical="top"/>
    </xf>
    <xf numFmtId="44" fontId="3" fillId="0" borderId="0" applyFont="0" applyFill="0" applyBorder="0" applyAlignment="0" applyProtection="0">
      <alignment vertical="top"/>
    </xf>
    <xf numFmtId="44" fontId="3" fillId="0" borderId="0" applyFont="0" applyFill="0" applyBorder="0" applyAlignment="0" applyProtection="0">
      <alignment vertical="top"/>
    </xf>
    <xf numFmtId="44" fontId="3" fillId="0" borderId="0" applyFont="0" applyFill="0" applyBorder="0" applyAlignment="0" applyProtection="0">
      <alignment vertical="top"/>
    </xf>
    <xf numFmtId="0" fontId="2" fillId="0" borderId="0"/>
    <xf numFmtId="44" fontId="3" fillId="0" borderId="0" applyFont="0" applyFill="0" applyBorder="0" applyAlignment="0" applyProtection="0">
      <alignment vertical="top"/>
    </xf>
    <xf numFmtId="44" fontId="3" fillId="0" borderId="0" applyFont="0" applyFill="0" applyBorder="0" applyAlignment="0" applyProtection="0">
      <alignment vertical="top"/>
    </xf>
  </cellStyleXfs>
  <cellXfs count="272">
    <xf numFmtId="0" fontId="0" fillId="0" borderId="0" xfId="0"/>
    <xf numFmtId="0" fontId="5" fillId="0" borderId="0" xfId="0" applyFont="1"/>
    <xf numFmtId="0" fontId="7" fillId="0" borderId="1" xfId="0" applyFont="1" applyBorder="1" applyAlignment="1">
      <alignment horizontal="left" vertical="center"/>
    </xf>
    <xf numFmtId="0" fontId="6" fillId="0" borderId="1" xfId="1"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164" fontId="5" fillId="0" borderId="1" xfId="0" applyNumberFormat="1" applyFont="1" applyFill="1" applyBorder="1" applyAlignment="1">
      <alignment horizontal="right" vertical="center" wrapText="1"/>
    </xf>
    <xf numFmtId="0" fontId="5" fillId="0" borderId="1" xfId="1" applyFont="1" applyFill="1" applyBorder="1" applyAlignment="1">
      <alignment horizontal="left" vertical="center" wrapText="1"/>
    </xf>
    <xf numFmtId="0" fontId="5" fillId="0" borderId="1" xfId="1" applyNumberFormat="1" applyFont="1" applyFill="1" applyBorder="1" applyAlignment="1">
      <alignment horizontal="left" vertical="center" wrapText="1"/>
    </xf>
    <xf numFmtId="49" fontId="11" fillId="2" borderId="1" xfId="0" applyNumberFormat="1" applyFont="1" applyFill="1" applyBorder="1" applyAlignment="1">
      <alignment horizontal="left" vertical="center" wrapText="1"/>
    </xf>
    <xf numFmtId="0" fontId="5" fillId="0" borderId="0" xfId="0" applyFont="1" applyFill="1"/>
    <xf numFmtId="164" fontId="12" fillId="6" borderId="1" xfId="0" applyNumberFormat="1" applyFont="1" applyFill="1" applyBorder="1" applyAlignment="1">
      <alignment horizontal="right" vertical="center" wrapText="1"/>
    </xf>
    <xf numFmtId="164" fontId="12" fillId="5" borderId="1" xfId="0" applyNumberFormat="1" applyFont="1" applyFill="1" applyBorder="1" applyAlignment="1">
      <alignment horizontal="right" vertical="center" wrapText="1"/>
    </xf>
    <xf numFmtId="0" fontId="5" fillId="0" borderId="1" xfId="0" applyFont="1" applyBorder="1" applyAlignment="1">
      <alignment horizontal="left" vertical="center"/>
    </xf>
    <xf numFmtId="0" fontId="5" fillId="3" borderId="1" xfId="1" applyNumberFormat="1" applyFont="1" applyFill="1" applyBorder="1" applyAlignment="1">
      <alignment horizontal="left" vertical="center" wrapText="1"/>
    </xf>
    <xf numFmtId="0" fontId="5" fillId="0" borderId="1" xfId="1"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 xfId="1" applyFont="1" applyBorder="1" applyAlignment="1">
      <alignment horizontal="left" vertical="center" wrapText="1"/>
    </xf>
    <xf numFmtId="0" fontId="5" fillId="4" borderId="1" xfId="1" applyFont="1" applyFill="1" applyBorder="1" applyAlignment="1">
      <alignment horizontal="left" vertical="center" wrapText="1"/>
    </xf>
    <xf numFmtId="49" fontId="5" fillId="0" borderId="1" xfId="0" applyNumberFormat="1" applyFont="1" applyBorder="1" applyAlignment="1" applyProtection="1">
      <alignment horizontal="left" vertical="center" wrapText="1"/>
      <protection hidden="1"/>
    </xf>
    <xf numFmtId="49" fontId="12" fillId="6" borderId="1" xfId="0" applyNumberFormat="1" applyFont="1" applyFill="1" applyBorder="1" applyAlignment="1">
      <alignment horizontal="left" vertical="center" wrapText="1"/>
    </xf>
    <xf numFmtId="0" fontId="12" fillId="5" borderId="1" xfId="1" applyNumberFormat="1" applyFont="1" applyFill="1" applyBorder="1" applyAlignment="1">
      <alignment horizontal="left" vertical="center" wrapText="1"/>
    </xf>
    <xf numFmtId="0" fontId="12" fillId="5" borderId="1" xfId="0" applyFont="1" applyFill="1" applyBorder="1" applyAlignment="1">
      <alignment horizontal="left" vertical="center"/>
    </xf>
    <xf numFmtId="0" fontId="5" fillId="0" borderId="1" xfId="0" applyFont="1" applyFill="1" applyBorder="1" applyAlignment="1">
      <alignment horizontal="left" vertical="center"/>
    </xf>
    <xf numFmtId="0" fontId="12" fillId="5"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12" fillId="5" borderId="1" xfId="0" applyNumberFormat="1" applyFont="1" applyFill="1" applyBorder="1" applyAlignment="1">
      <alignment horizontal="left" vertical="center" wrapText="1"/>
    </xf>
    <xf numFmtId="0" fontId="5" fillId="0" borderId="1" xfId="2" applyFont="1" applyFill="1" applyBorder="1" applyAlignment="1">
      <alignment horizontal="left" vertical="center" wrapText="1"/>
    </xf>
    <xf numFmtId="0" fontId="5" fillId="0" borderId="0" xfId="0" applyFont="1" applyAlignment="1">
      <alignment horizontal="left" vertical="center"/>
    </xf>
    <xf numFmtId="49" fontId="5" fillId="0" borderId="1" xfId="0" applyNumberFormat="1" applyFont="1" applyBorder="1" applyAlignment="1">
      <alignment horizontal="left" vertical="center" wrapText="1"/>
    </xf>
    <xf numFmtId="164" fontId="11" fillId="2" borderId="1" xfId="0" applyNumberFormat="1" applyFont="1" applyFill="1" applyBorder="1" applyAlignment="1">
      <alignment horizontal="right" vertical="center" wrapText="1"/>
    </xf>
    <xf numFmtId="164" fontId="5" fillId="0" borderId="1" xfId="1" applyNumberFormat="1" applyFont="1" applyFill="1" applyBorder="1" applyAlignment="1">
      <alignment horizontal="right" vertical="center" wrapText="1"/>
    </xf>
    <xf numFmtId="164" fontId="16" fillId="5" borderId="1" xfId="0" applyNumberFormat="1" applyFont="1" applyFill="1" applyBorder="1" applyAlignment="1">
      <alignment horizontal="right" vertical="center" wrapText="1"/>
    </xf>
    <xf numFmtId="164" fontId="5" fillId="0" borderId="1" xfId="0" applyNumberFormat="1" applyFont="1" applyBorder="1" applyAlignment="1">
      <alignment horizontal="right" vertical="center"/>
    </xf>
    <xf numFmtId="164" fontId="5" fillId="3" borderId="1" xfId="1" applyNumberFormat="1" applyFont="1" applyFill="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64" fontId="5" fillId="4" borderId="1" xfId="1" applyNumberFormat="1" applyFont="1" applyFill="1" applyBorder="1" applyAlignment="1">
      <alignment horizontal="right" vertical="center" wrapText="1"/>
    </xf>
    <xf numFmtId="164" fontId="15" fillId="0" borderId="1" xfId="1" applyNumberFormat="1" applyFont="1" applyFill="1" applyBorder="1" applyAlignment="1">
      <alignment horizontal="right" vertical="center" wrapText="1"/>
    </xf>
    <xf numFmtId="164" fontId="15" fillId="0" borderId="1" xfId="1" applyNumberFormat="1" applyFont="1" applyBorder="1" applyAlignment="1">
      <alignment horizontal="right" vertical="center" wrapText="1"/>
    </xf>
    <xf numFmtId="164" fontId="15" fillId="3" borderId="1" xfId="1" applyNumberFormat="1" applyFont="1" applyFill="1" applyBorder="1" applyAlignment="1">
      <alignment horizontal="right" vertical="center" wrapText="1"/>
    </xf>
    <xf numFmtId="164" fontId="16" fillId="5" borderId="1" xfId="1" applyNumberFormat="1" applyFont="1" applyFill="1" applyBorder="1" applyAlignment="1">
      <alignment horizontal="right" vertical="center" wrapText="1"/>
    </xf>
    <xf numFmtId="164" fontId="5" fillId="0" borderId="1" xfId="0" applyNumberFormat="1" applyFont="1" applyFill="1" applyBorder="1" applyAlignment="1">
      <alignment horizontal="right" vertical="center"/>
    </xf>
    <xf numFmtId="164" fontId="16" fillId="5" borderId="1" xfId="0" applyNumberFormat="1" applyFont="1" applyFill="1" applyBorder="1" applyAlignment="1">
      <alignment horizontal="right" vertical="center"/>
    </xf>
    <xf numFmtId="164" fontId="5" fillId="0" borderId="0" xfId="0" applyNumberFormat="1" applyFont="1" applyAlignment="1">
      <alignment horizontal="right" vertical="center"/>
    </xf>
    <xf numFmtId="49" fontId="5" fillId="0" borderId="1" xfId="0" applyNumberFormat="1" applyFont="1" applyFill="1" applyBorder="1" applyAlignment="1" applyProtection="1">
      <alignment horizontal="left" vertical="center"/>
      <protection hidden="1"/>
    </xf>
    <xf numFmtId="0" fontId="5" fillId="0" borderId="1" xfId="2" applyFont="1" applyFill="1" applyBorder="1" applyAlignment="1">
      <alignment horizontal="left" vertical="center"/>
    </xf>
    <xf numFmtId="0" fontId="16" fillId="5" borderId="1" xfId="1" applyNumberFormat="1" applyFont="1" applyFill="1" applyBorder="1" applyAlignment="1">
      <alignment horizontal="left" vertical="center" wrapText="1"/>
    </xf>
    <xf numFmtId="0" fontId="16" fillId="5" borderId="1" xfId="0" applyFont="1" applyFill="1" applyBorder="1" applyAlignment="1">
      <alignment horizontal="left" vertical="center"/>
    </xf>
    <xf numFmtId="164" fontId="12" fillId="5" borderId="1" xfId="1" applyNumberFormat="1" applyFont="1" applyFill="1" applyBorder="1" applyAlignment="1">
      <alignment horizontal="right" vertical="center" wrapText="1"/>
    </xf>
    <xf numFmtId="49" fontId="16" fillId="5" borderId="1" xfId="0" applyNumberFormat="1" applyFont="1" applyFill="1" applyBorder="1" applyAlignment="1">
      <alignment horizontal="left" vertical="center" wrapText="1"/>
    </xf>
    <xf numFmtId="0" fontId="16" fillId="5" borderId="1" xfId="0" applyFont="1" applyFill="1" applyBorder="1" applyAlignment="1">
      <alignment horizontal="left" vertical="center" wrapText="1"/>
    </xf>
    <xf numFmtId="0" fontId="12" fillId="5" borderId="1" xfId="1" applyFont="1" applyFill="1" applyBorder="1" applyAlignment="1">
      <alignment horizontal="left" vertical="center" wrapText="1"/>
    </xf>
    <xf numFmtId="0" fontId="16" fillId="5" borderId="1" xfId="1" applyFont="1" applyFill="1" applyBorder="1" applyAlignment="1">
      <alignment horizontal="left" vertical="center" wrapText="1"/>
    </xf>
    <xf numFmtId="49" fontId="12" fillId="7" borderId="1" xfId="0" applyNumberFormat="1" applyFont="1" applyFill="1" applyBorder="1" applyAlignment="1">
      <alignment horizontal="left" vertical="center" wrapText="1"/>
    </xf>
    <xf numFmtId="164" fontId="12" fillId="7" borderId="1" xfId="0" applyNumberFormat="1" applyFont="1" applyFill="1" applyBorder="1" applyAlignment="1">
      <alignment horizontal="right" vertical="center" wrapText="1"/>
    </xf>
    <xf numFmtId="49" fontId="5" fillId="0" borderId="1" xfId="0" applyNumberFormat="1" applyFont="1" applyBorder="1" applyAlignment="1" applyProtection="1">
      <alignment horizontal="left" vertical="center"/>
      <protection hidden="1"/>
    </xf>
    <xf numFmtId="0" fontId="14" fillId="0" borderId="1" xfId="0" applyFont="1" applyBorder="1" applyAlignment="1">
      <alignment horizontal="left" vertical="center" wrapText="1"/>
    </xf>
    <xf numFmtId="164" fontId="5" fillId="0" borderId="1" xfId="0" applyNumberFormat="1" applyFont="1" applyBorder="1" applyAlignment="1" applyProtection="1">
      <alignment horizontal="right" vertical="center"/>
      <protection hidden="1"/>
    </xf>
    <xf numFmtId="164" fontId="6" fillId="0" borderId="1" xfId="1" applyNumberFormat="1" applyFont="1" applyFill="1" applyBorder="1" applyAlignment="1">
      <alignment horizontal="right" vertical="center" wrapText="1"/>
    </xf>
    <xf numFmtId="0" fontId="17" fillId="5" borderId="1" xfId="1" applyNumberFormat="1" applyFont="1" applyFill="1" applyBorder="1" applyAlignment="1">
      <alignment horizontal="left" vertical="center" wrapText="1"/>
    </xf>
    <xf numFmtId="0" fontId="13" fillId="5" borderId="1" xfId="1" applyNumberFormat="1" applyFont="1" applyFill="1" applyBorder="1" applyAlignment="1">
      <alignment horizontal="left" vertical="center" wrapText="1"/>
    </xf>
    <xf numFmtId="164" fontId="17" fillId="5" borderId="1" xfId="1" applyNumberFormat="1" applyFont="1" applyFill="1" applyBorder="1" applyAlignment="1">
      <alignment horizontal="right" vertical="center" wrapText="1"/>
    </xf>
    <xf numFmtId="0" fontId="19" fillId="0" borderId="2" xfId="0" applyFont="1" applyFill="1" applyBorder="1" applyAlignment="1">
      <alignment horizontal="left" vertical="center"/>
    </xf>
    <xf numFmtId="0" fontId="19" fillId="0" borderId="2" xfId="0" applyFont="1" applyFill="1" applyBorder="1" applyAlignment="1">
      <alignment horizontal="left" vertical="center" wrapText="1"/>
    </xf>
    <xf numFmtId="0" fontId="24" fillId="0" borderId="2" xfId="0" applyFont="1" applyFill="1" applyBorder="1" applyAlignment="1">
      <alignment horizontal="left" vertical="center"/>
    </xf>
    <xf numFmtId="0" fontId="8" fillId="0" borderId="0" xfId="0" applyFont="1" applyFill="1" applyAlignment="1" applyProtection="1">
      <alignment horizontal="left" vertical="center"/>
      <protection hidden="1"/>
    </xf>
    <xf numFmtId="0" fontId="5" fillId="0" borderId="1" xfId="0" applyFont="1" applyFill="1" applyBorder="1" applyAlignment="1" applyProtection="1">
      <alignment horizontal="left" vertical="center" wrapText="1"/>
      <protection hidden="1"/>
    </xf>
    <xf numFmtId="0" fontId="6" fillId="0" borderId="1" xfId="0" applyFont="1" applyFill="1" applyBorder="1" applyAlignment="1" applyProtection="1">
      <alignment horizontal="left" vertical="center"/>
      <protection hidden="1"/>
    </xf>
    <xf numFmtId="0" fontId="26" fillId="0" borderId="0" xfId="0" applyFont="1" applyFill="1" applyAlignment="1" applyProtection="1">
      <alignment horizontal="left" vertical="center" wrapText="1"/>
      <protection hidden="1"/>
    </xf>
    <xf numFmtId="0" fontId="26" fillId="0" borderId="0" xfId="0" applyFont="1" applyFill="1" applyAlignment="1" applyProtection="1">
      <alignment horizontal="left" vertical="center"/>
      <protection hidden="1"/>
    </xf>
    <xf numFmtId="0" fontId="6" fillId="0" borderId="1" xfId="0" applyFont="1" applyFill="1" applyBorder="1" applyAlignment="1" applyProtection="1">
      <alignment horizontal="left" vertical="center" wrapText="1"/>
      <protection hidden="1"/>
    </xf>
    <xf numFmtId="0" fontId="8" fillId="0" borderId="0" xfId="0" applyFont="1" applyFill="1" applyAlignment="1">
      <alignment horizontal="left" vertical="center"/>
    </xf>
    <xf numFmtId="0" fontId="5" fillId="0" borderId="0" xfId="0" applyFont="1" applyFill="1" applyAlignment="1" applyProtection="1">
      <alignment horizontal="left" vertical="center" wrapText="1"/>
      <protection hidden="1"/>
    </xf>
    <xf numFmtId="49" fontId="5" fillId="0" borderId="0" xfId="0" applyNumberFormat="1" applyFont="1" applyFill="1" applyAlignment="1">
      <alignment horizontal="left" vertical="center" wrapText="1"/>
    </xf>
    <xf numFmtId="0" fontId="6" fillId="0" borderId="1" xfId="0" applyFont="1" applyFill="1" applyBorder="1" applyAlignment="1">
      <alignment horizontal="left" vertical="center"/>
    </xf>
    <xf numFmtId="0" fontId="6" fillId="0" borderId="0" xfId="0" applyFont="1" applyFill="1" applyAlignment="1">
      <alignment horizontal="left" vertical="center"/>
    </xf>
    <xf numFmtId="0" fontId="6" fillId="0" borderId="1" xfId="0" applyFont="1" applyFill="1" applyBorder="1" applyAlignment="1">
      <alignment horizontal="left" vertical="center" wrapText="1"/>
    </xf>
    <xf numFmtId="0" fontId="6" fillId="0" borderId="0" xfId="0" applyFont="1" applyFill="1" applyAlignment="1">
      <alignment horizontal="left" vertical="center" wrapText="1"/>
    </xf>
    <xf numFmtId="0" fontId="28" fillId="0" borderId="1" xfId="0" applyFont="1" applyBorder="1" applyAlignment="1">
      <alignment horizontal="left" vertical="center" wrapText="1"/>
    </xf>
    <xf numFmtId="164" fontId="19" fillId="0" borderId="2" xfId="0" applyNumberFormat="1" applyFont="1" applyFill="1" applyBorder="1" applyAlignment="1">
      <alignment horizontal="right" vertical="center"/>
    </xf>
    <xf numFmtId="164" fontId="24" fillId="0" borderId="2" xfId="0" applyNumberFormat="1" applyFont="1" applyFill="1" applyBorder="1" applyAlignment="1">
      <alignment horizontal="right" vertical="center"/>
    </xf>
    <xf numFmtId="164" fontId="26" fillId="0" borderId="0" xfId="0" applyNumberFormat="1" applyFont="1" applyFill="1" applyAlignment="1">
      <alignment horizontal="right" vertical="center"/>
    </xf>
    <xf numFmtId="164" fontId="7" fillId="0" borderId="0" xfId="0" applyNumberFormat="1" applyFont="1" applyFill="1" applyAlignment="1">
      <alignment horizontal="right" vertical="center"/>
    </xf>
    <xf numFmtId="164" fontId="5" fillId="0" borderId="1" xfId="4" applyNumberFormat="1" applyFont="1" applyFill="1" applyBorder="1" applyAlignment="1" applyProtection="1">
      <alignment horizontal="right" vertical="center"/>
      <protection hidden="1"/>
    </xf>
    <xf numFmtId="164" fontId="5" fillId="0" borderId="0" xfId="4" applyNumberFormat="1" applyFont="1" applyFill="1" applyBorder="1" applyAlignment="1" applyProtection="1">
      <alignment horizontal="right" vertical="center"/>
      <protection hidden="1"/>
    </xf>
    <xf numFmtId="164" fontId="5" fillId="0" borderId="0" xfId="0" applyNumberFormat="1" applyFont="1" applyFill="1" applyAlignment="1">
      <alignment horizontal="right" vertical="center"/>
    </xf>
    <xf numFmtId="164" fontId="26" fillId="0" borderId="0" xfId="4" applyNumberFormat="1" applyFont="1" applyFill="1" applyBorder="1" applyAlignment="1">
      <alignment horizontal="right" vertical="center"/>
    </xf>
    <xf numFmtId="164" fontId="5" fillId="0" borderId="0" xfId="3" applyNumberFormat="1" applyFont="1" applyFill="1" applyBorder="1" applyAlignment="1" applyProtection="1">
      <alignment horizontal="right" vertical="center"/>
      <protection hidden="1"/>
    </xf>
    <xf numFmtId="164" fontId="6" fillId="0" borderId="0" xfId="0" applyNumberFormat="1" applyFont="1" applyFill="1" applyAlignment="1">
      <alignment horizontal="right" vertical="center"/>
    </xf>
    <xf numFmtId="164" fontId="8" fillId="0" borderId="0" xfId="0" applyNumberFormat="1" applyFont="1" applyFill="1" applyAlignment="1">
      <alignment horizontal="right" vertical="center"/>
    </xf>
    <xf numFmtId="164" fontId="5" fillId="0" borderId="5" xfId="0" applyNumberFormat="1" applyFont="1" applyFill="1" applyBorder="1" applyAlignment="1">
      <alignment horizontal="right" vertical="center"/>
    </xf>
    <xf numFmtId="164" fontId="5" fillId="0" borderId="0" xfId="4" applyNumberFormat="1" applyFont="1" applyFill="1" applyBorder="1" applyAlignment="1">
      <alignment horizontal="right" vertical="center"/>
    </xf>
    <xf numFmtId="164" fontId="6" fillId="0" borderId="0" xfId="5" applyNumberFormat="1" applyFont="1" applyFill="1" applyBorder="1" applyAlignment="1">
      <alignment horizontal="right" vertical="center"/>
    </xf>
    <xf numFmtId="164" fontId="28" fillId="0" borderId="1" xfId="7" applyNumberFormat="1" applyFont="1" applyFill="1" applyBorder="1" applyAlignment="1">
      <alignment horizontal="right" vertical="center"/>
    </xf>
    <xf numFmtId="164" fontId="28" fillId="0" borderId="1" xfId="8" applyNumberFormat="1" applyFont="1" applyFill="1" applyBorder="1" applyAlignment="1">
      <alignment horizontal="right" vertical="center"/>
    </xf>
    <xf numFmtId="164" fontId="28" fillId="0" borderId="1" xfId="9" applyNumberFormat="1" applyFont="1" applyFill="1" applyBorder="1" applyAlignment="1">
      <alignment horizontal="right" vertical="center"/>
    </xf>
    <xf numFmtId="164" fontId="28" fillId="0" borderId="1" xfId="10" applyNumberFormat="1" applyFont="1" applyFill="1" applyBorder="1" applyAlignment="1">
      <alignment horizontal="right" vertical="center"/>
    </xf>
    <xf numFmtId="164" fontId="28" fillId="0" borderId="1" xfId="11" applyNumberFormat="1" applyFont="1" applyFill="1" applyBorder="1" applyAlignment="1">
      <alignment horizontal="right" vertical="center"/>
    </xf>
    <xf numFmtId="164" fontId="28" fillId="0" borderId="1" xfId="12" applyNumberFormat="1" applyFont="1" applyFill="1" applyBorder="1" applyAlignment="1">
      <alignment horizontal="right" vertical="center"/>
    </xf>
    <xf numFmtId="164" fontId="28" fillId="0" borderId="1" xfId="13" applyNumberFormat="1" applyFont="1" applyFill="1" applyBorder="1" applyAlignment="1">
      <alignment horizontal="right" vertical="center"/>
    </xf>
    <xf numFmtId="164" fontId="28" fillId="0" borderId="1" xfId="15" applyNumberFormat="1" applyFont="1" applyFill="1" applyBorder="1" applyAlignment="1">
      <alignment horizontal="right" vertical="center"/>
    </xf>
    <xf numFmtId="164" fontId="28" fillId="0" borderId="1" xfId="0" applyNumberFormat="1" applyFont="1" applyBorder="1" applyAlignment="1">
      <alignment horizontal="right" vertical="center"/>
    </xf>
    <xf numFmtId="164" fontId="6" fillId="0" borderId="1" xfId="8" applyNumberFormat="1" applyFont="1" applyFill="1" applyBorder="1" applyAlignment="1">
      <alignment horizontal="right" vertical="center"/>
    </xf>
    <xf numFmtId="164" fontId="5" fillId="0" borderId="1" xfId="7" applyNumberFormat="1" applyFont="1" applyFill="1" applyBorder="1" applyAlignment="1">
      <alignment horizontal="right" vertical="center"/>
    </xf>
    <xf numFmtId="164" fontId="6" fillId="0" borderId="1" xfId="7" applyNumberFormat="1" applyFont="1" applyFill="1" applyBorder="1" applyAlignment="1">
      <alignment horizontal="right" vertical="center"/>
    </xf>
    <xf numFmtId="164" fontId="28" fillId="0" borderId="1" xfId="16" applyNumberFormat="1" applyFont="1" applyFill="1" applyBorder="1" applyAlignment="1">
      <alignment horizontal="right" vertical="center"/>
    </xf>
    <xf numFmtId="164" fontId="28" fillId="0" borderId="1" xfId="6" applyNumberFormat="1" applyFont="1" applyBorder="1" applyAlignment="1">
      <alignment horizontal="right" vertical="center" wrapText="1"/>
    </xf>
    <xf numFmtId="164" fontId="6" fillId="0" borderId="1" xfId="16" applyNumberFormat="1" applyFont="1" applyFill="1" applyBorder="1" applyAlignment="1">
      <alignment horizontal="right" vertical="center"/>
    </xf>
    <xf numFmtId="164" fontId="6" fillId="0" borderId="1" xfId="16" applyNumberFormat="1" applyFont="1" applyFill="1" applyBorder="1" applyAlignment="1">
      <alignment horizontal="right" vertical="center" wrapText="1" readingOrder="1"/>
    </xf>
    <xf numFmtId="164" fontId="6" fillId="0" borderId="1" xfId="8" applyNumberFormat="1" applyFont="1" applyFill="1" applyBorder="1" applyAlignment="1">
      <alignment horizontal="right" vertical="center" wrapText="1"/>
    </xf>
    <xf numFmtId="164" fontId="5" fillId="0" borderId="0" xfId="0" applyNumberFormat="1" applyFont="1" applyFill="1" applyBorder="1" applyAlignment="1">
      <alignment horizontal="right" vertical="center"/>
    </xf>
    <xf numFmtId="0" fontId="8" fillId="0" borderId="0" xfId="0" applyFont="1" applyFill="1" applyAlignment="1" applyProtection="1">
      <alignment horizontal="left" vertical="center" wrapText="1"/>
      <protection hidden="1"/>
    </xf>
    <xf numFmtId="0" fontId="28" fillId="0" borderId="1" xfId="6" applyFont="1" applyBorder="1" applyAlignment="1">
      <alignment horizontal="left" vertical="center" wrapText="1"/>
    </xf>
    <xf numFmtId="0" fontId="6" fillId="0" borderId="1" xfId="14" applyFont="1" applyBorder="1" applyAlignment="1">
      <alignment horizontal="left" vertical="center"/>
    </xf>
    <xf numFmtId="0" fontId="19" fillId="0" borderId="1" xfId="0" applyFont="1" applyBorder="1" applyAlignment="1">
      <alignment horizontal="left" vertical="center" wrapText="1"/>
    </xf>
    <xf numFmtId="0" fontId="5" fillId="0" borderId="1" xfId="6" applyFont="1" applyBorder="1" applyAlignment="1">
      <alignment horizontal="left" vertical="center" wrapText="1"/>
    </xf>
    <xf numFmtId="0" fontId="6" fillId="0" borderId="1" xfId="0" applyFont="1" applyBorder="1" applyAlignment="1">
      <alignment horizontal="left" vertical="center" wrapText="1"/>
    </xf>
    <xf numFmtId="0" fontId="6" fillId="0" borderId="1" xfId="6" applyFont="1" applyBorder="1" applyAlignment="1">
      <alignment horizontal="left" vertical="center" wrapText="1"/>
    </xf>
    <xf numFmtId="0" fontId="6" fillId="0" borderId="1" xfId="0" applyFont="1" applyBorder="1" applyAlignment="1">
      <alignment horizontal="left" vertical="center"/>
    </xf>
    <xf numFmtId="0" fontId="6" fillId="0" borderId="1" xfId="6" applyFont="1" applyBorder="1" applyAlignment="1">
      <alignment horizontal="left" vertical="center" wrapText="1" readingOrder="1"/>
    </xf>
    <xf numFmtId="0" fontId="5" fillId="0" borderId="1" xfId="2" applyFont="1" applyBorder="1" applyAlignment="1">
      <alignment horizontal="left" vertical="center" wrapText="1"/>
    </xf>
    <xf numFmtId="0" fontId="6" fillId="0" borderId="1" xfId="2" applyFont="1" applyBorder="1" applyAlignment="1">
      <alignment horizontal="left" vertical="center" wrapText="1"/>
    </xf>
    <xf numFmtId="0" fontId="6" fillId="0" borderId="1" xfId="0" applyFont="1" applyBorder="1" applyAlignment="1">
      <alignment horizontal="left" vertical="center" wrapText="1" readingOrder="1"/>
    </xf>
    <xf numFmtId="0" fontId="7" fillId="0" borderId="0" xfId="0" applyFont="1" applyFill="1" applyAlignment="1">
      <alignment horizontal="left" vertical="center"/>
    </xf>
    <xf numFmtId="0" fontId="6" fillId="0" borderId="0" xfId="0" applyFont="1" applyFill="1" applyAlignment="1" applyProtection="1">
      <alignment horizontal="left" vertical="center" wrapText="1"/>
      <protection hidden="1"/>
    </xf>
    <xf numFmtId="0" fontId="5" fillId="0" borderId="1" xfId="0" applyFont="1" applyFill="1" applyBorder="1" applyAlignment="1" applyProtection="1">
      <alignment horizontal="left" vertical="center"/>
      <protection hidden="1"/>
    </xf>
    <xf numFmtId="0" fontId="5" fillId="0" borderId="0" xfId="0" applyFont="1" applyFill="1" applyAlignment="1" applyProtection="1">
      <alignment horizontal="left" vertical="center"/>
      <protection hidden="1"/>
    </xf>
    <xf numFmtId="49" fontId="5" fillId="0" borderId="1" xfId="0" applyNumberFormat="1" applyFont="1" applyFill="1" applyBorder="1" applyAlignment="1">
      <alignment horizontal="left" vertical="center"/>
    </xf>
    <xf numFmtId="49" fontId="5" fillId="0" borderId="0" xfId="0" applyNumberFormat="1" applyFont="1" applyFill="1" applyAlignment="1">
      <alignment horizontal="left" vertical="center"/>
    </xf>
    <xf numFmtId="49" fontId="5" fillId="0" borderId="0" xfId="0" applyNumberFormat="1" applyFont="1" applyFill="1" applyAlignment="1" applyProtection="1">
      <alignment horizontal="left" vertical="center"/>
      <protection hidden="1"/>
    </xf>
    <xf numFmtId="49" fontId="8" fillId="0" borderId="0" xfId="0" applyNumberFormat="1" applyFont="1" applyFill="1" applyAlignment="1" applyProtection="1">
      <alignment horizontal="left" vertical="center"/>
      <protection hidden="1"/>
    </xf>
    <xf numFmtId="49" fontId="26" fillId="0" borderId="0" xfId="0" applyNumberFormat="1" applyFont="1" applyFill="1" applyAlignment="1">
      <alignment horizontal="left" vertical="center" wrapText="1"/>
    </xf>
    <xf numFmtId="49" fontId="6" fillId="0" borderId="1" xfId="0" applyNumberFormat="1" applyFont="1" applyFill="1" applyBorder="1" applyAlignment="1">
      <alignment horizontal="left" vertical="center"/>
    </xf>
    <xf numFmtId="0" fontId="5" fillId="0" borderId="0" xfId="0" applyFont="1" applyFill="1" applyAlignment="1">
      <alignment horizontal="left" vertical="center" wrapText="1"/>
    </xf>
    <xf numFmtId="0" fontId="27" fillId="0" borderId="0" xfId="0" applyFont="1" applyFill="1" applyAlignment="1" applyProtection="1">
      <alignment horizontal="left" vertical="center" wrapText="1"/>
      <protection hidden="1"/>
    </xf>
    <xf numFmtId="0" fontId="5" fillId="0" borderId="0" xfId="0" applyFont="1" applyFill="1" applyAlignment="1">
      <alignment horizontal="left" vertical="center"/>
    </xf>
    <xf numFmtId="0" fontId="5" fillId="0" borderId="3" xfId="0" applyFont="1" applyFill="1" applyBorder="1" applyAlignment="1" applyProtection="1">
      <alignment horizontal="left" vertical="center" wrapText="1"/>
      <protection hidden="1"/>
    </xf>
    <xf numFmtId="49" fontId="6" fillId="0" borderId="1" xfId="0" applyNumberFormat="1" applyFont="1" applyFill="1" applyBorder="1" applyAlignment="1">
      <alignment horizontal="left" vertical="center" wrapText="1"/>
    </xf>
    <xf numFmtId="49" fontId="6" fillId="0" borderId="0" xfId="0" applyNumberFormat="1" applyFont="1" applyFill="1" applyAlignment="1">
      <alignment horizontal="left" vertical="center"/>
    </xf>
    <xf numFmtId="0" fontId="8" fillId="0" borderId="0" xfId="0" applyFont="1" applyFill="1" applyAlignment="1">
      <alignment horizontal="left" vertical="center" wrapText="1"/>
    </xf>
    <xf numFmtId="0" fontId="8" fillId="0" borderId="5" xfId="0" applyFont="1" applyFill="1" applyBorder="1" applyAlignment="1">
      <alignment horizontal="left" vertical="center"/>
    </xf>
    <xf numFmtId="0" fontId="8" fillId="0" borderId="5" xfId="0" applyFont="1" applyFill="1" applyBorder="1" applyAlignment="1">
      <alignment horizontal="left" vertical="center" wrapText="1"/>
    </xf>
    <xf numFmtId="49" fontId="5" fillId="0" borderId="3" xfId="0" applyNumberFormat="1" applyFont="1" applyFill="1" applyBorder="1" applyAlignment="1" applyProtection="1">
      <alignment horizontal="left" vertical="center"/>
      <protection hidden="1"/>
    </xf>
    <xf numFmtId="49" fontId="25" fillId="0" borderId="0" xfId="0" applyNumberFormat="1" applyFont="1" applyFill="1" applyAlignment="1">
      <alignment horizontal="left" vertical="center"/>
    </xf>
    <xf numFmtId="0" fontId="26" fillId="0" borderId="0" xfId="0" applyFont="1" applyFill="1" applyAlignment="1">
      <alignment horizontal="left" vertical="center" wrapText="1"/>
    </xf>
    <xf numFmtId="49" fontId="6" fillId="0" borderId="1" xfId="0" applyNumberFormat="1" applyFont="1" applyFill="1" applyBorder="1" applyAlignment="1" applyProtection="1">
      <alignment horizontal="left" vertical="center"/>
      <protection hidden="1"/>
    </xf>
    <xf numFmtId="49" fontId="6" fillId="0" borderId="0" xfId="0" applyNumberFormat="1" applyFont="1" applyFill="1" applyAlignment="1">
      <alignment horizontal="left" vertical="center" wrapText="1"/>
    </xf>
    <xf numFmtId="49" fontId="8" fillId="0" borderId="0" xfId="0" applyNumberFormat="1" applyFont="1" applyFill="1" applyAlignment="1">
      <alignment horizontal="left" vertical="center" wrapText="1"/>
    </xf>
    <xf numFmtId="49" fontId="5" fillId="0" borderId="1" xfId="0" applyNumberFormat="1" applyFont="1" applyFill="1" applyBorder="1" applyAlignment="1" applyProtection="1">
      <alignment horizontal="left" vertical="center" wrapText="1"/>
      <protection hidden="1"/>
    </xf>
    <xf numFmtId="0" fontId="26" fillId="0" borderId="0" xfId="0" applyFont="1" applyFill="1" applyAlignment="1">
      <alignment horizontal="left" vertical="center"/>
    </xf>
    <xf numFmtId="49" fontId="5" fillId="0" borderId="0" xfId="0" applyNumberFormat="1" applyFont="1" applyFill="1" applyAlignment="1" applyProtection="1">
      <alignment horizontal="left" vertical="center" wrapText="1"/>
      <protection hidden="1"/>
    </xf>
    <xf numFmtId="49" fontId="5" fillId="0" borderId="5" xfId="0" applyNumberFormat="1" applyFont="1" applyFill="1" applyBorder="1" applyAlignment="1">
      <alignment horizontal="left" vertical="center"/>
    </xf>
    <xf numFmtId="49" fontId="5" fillId="0" borderId="5" xfId="0" applyNumberFormat="1" applyFont="1" applyFill="1" applyBorder="1" applyAlignment="1">
      <alignment horizontal="left" vertical="center" wrapText="1"/>
    </xf>
    <xf numFmtId="0" fontId="19" fillId="0" borderId="0" xfId="0" applyFont="1" applyFill="1" applyAlignment="1" applyProtection="1">
      <alignment horizontal="left" vertical="center" wrapText="1"/>
      <protection hidden="1"/>
    </xf>
    <xf numFmtId="0" fontId="19" fillId="0" borderId="1" xfId="0" applyFont="1" applyFill="1" applyBorder="1" applyAlignment="1" applyProtection="1">
      <alignment horizontal="left" vertical="center" wrapText="1"/>
      <protection hidden="1"/>
    </xf>
    <xf numFmtId="0" fontId="6" fillId="0" borderId="0" xfId="0" applyFont="1" applyFill="1" applyAlignment="1" applyProtection="1">
      <alignment horizontal="left" vertical="center"/>
      <protection hidden="1"/>
    </xf>
    <xf numFmtId="49" fontId="8" fillId="0" borderId="0" xfId="0" applyNumberFormat="1" applyFont="1" applyFill="1" applyAlignment="1">
      <alignment horizontal="left" vertical="center"/>
    </xf>
    <xf numFmtId="49" fontId="8" fillId="0" borderId="5" xfId="0" applyNumberFormat="1" applyFont="1" applyFill="1" applyBorder="1" applyAlignment="1">
      <alignment horizontal="left" vertical="center" wrapText="1"/>
    </xf>
    <xf numFmtId="49" fontId="26" fillId="0" borderId="0" xfId="0" applyNumberFormat="1" applyFont="1" applyFill="1" applyAlignment="1">
      <alignment horizontal="left" vertical="center"/>
    </xf>
    <xf numFmtId="0" fontId="19" fillId="0" borderId="1" xfId="0" applyFont="1" applyFill="1" applyBorder="1" applyAlignment="1">
      <alignment horizontal="left" vertical="center"/>
    </xf>
    <xf numFmtId="0" fontId="19" fillId="0" borderId="0" xfId="0" applyFont="1" applyFill="1" applyAlignment="1">
      <alignment horizontal="left" vertical="center"/>
    </xf>
    <xf numFmtId="49" fontId="8" fillId="0" borderId="7" xfId="0" applyNumberFormat="1" applyFont="1" applyFill="1" applyBorder="1" applyAlignment="1">
      <alignment horizontal="left" vertical="center"/>
    </xf>
    <xf numFmtId="0" fontId="28" fillId="0" borderId="1" xfId="6" applyFont="1" applyBorder="1" applyAlignment="1">
      <alignment horizontal="left" vertical="center"/>
    </xf>
    <xf numFmtId="0" fontId="28" fillId="0" borderId="1" xfId="0" applyFont="1" applyBorder="1" applyAlignment="1">
      <alignment horizontal="left" vertical="center"/>
    </xf>
    <xf numFmtId="164" fontId="28" fillId="0" borderId="1" xfId="0" applyNumberFormat="1" applyFont="1" applyBorder="1" applyAlignment="1">
      <alignment horizontal="left" vertical="center"/>
    </xf>
    <xf numFmtId="0" fontId="6" fillId="4" borderId="1" xfId="6" applyFont="1" applyFill="1" applyBorder="1" applyAlignment="1">
      <alignment horizontal="left" vertical="center" wrapText="1"/>
    </xf>
    <xf numFmtId="0" fontId="5" fillId="0" borderId="1" xfId="14" applyFont="1" applyBorder="1" applyAlignment="1">
      <alignment horizontal="left" vertical="center"/>
    </xf>
    <xf numFmtId="0" fontId="5" fillId="0" borderId="1" xfId="14" applyFont="1" applyBorder="1" applyAlignment="1">
      <alignment horizontal="left" vertical="center" wrapText="1"/>
    </xf>
    <xf numFmtId="0" fontId="5" fillId="0" borderId="1" xfId="6" applyFont="1" applyBorder="1" applyAlignment="1">
      <alignment horizontal="left" vertical="center"/>
    </xf>
    <xf numFmtId="0" fontId="28" fillId="0" borderId="1" xfId="0" quotePrefix="1" applyFont="1" applyBorder="1" applyAlignment="1">
      <alignment horizontal="left" vertical="center"/>
    </xf>
    <xf numFmtId="0" fontId="19" fillId="0" borderId="1" xfId="0" applyFont="1" applyBorder="1" applyAlignment="1">
      <alignment horizontal="left" vertical="center"/>
    </xf>
    <xf numFmtId="0" fontId="6" fillId="0" borderId="1" xfId="6" applyFont="1" applyBorder="1" applyAlignment="1">
      <alignment horizontal="left" vertical="center"/>
    </xf>
    <xf numFmtId="0" fontId="19" fillId="0" borderId="1" xfId="6" applyFont="1" applyBorder="1" applyAlignment="1">
      <alignment horizontal="left" vertical="center"/>
    </xf>
    <xf numFmtId="164" fontId="28" fillId="0" borderId="1" xfId="0" applyNumberFormat="1" applyFont="1" applyBorder="1" applyAlignment="1">
      <alignment horizontal="left" vertical="center" wrapText="1"/>
    </xf>
    <xf numFmtId="0" fontId="5" fillId="0" borderId="1" xfId="2" applyFont="1" applyBorder="1" applyAlignment="1">
      <alignment horizontal="left" vertical="center"/>
    </xf>
    <xf numFmtId="0" fontId="5" fillId="0" borderId="0" xfId="0" applyFont="1" applyFill="1" applyBorder="1" applyAlignment="1">
      <alignment horizontal="left" vertical="center"/>
    </xf>
    <xf numFmtId="0" fontId="19" fillId="0" borderId="0" xfId="0" applyFont="1" applyFill="1" applyBorder="1" applyAlignment="1">
      <alignment horizontal="left" vertical="center"/>
    </xf>
    <xf numFmtId="0" fontId="12" fillId="5" borderId="0" xfId="0" applyFont="1" applyFill="1" applyAlignment="1">
      <alignment horizontal="left" vertical="center"/>
    </xf>
    <xf numFmtId="0" fontId="11" fillId="8" borderId="1" xfId="0" applyFont="1" applyFill="1" applyBorder="1" applyAlignment="1">
      <alignment horizontal="left" vertical="center"/>
    </xf>
    <xf numFmtId="164" fontId="11" fillId="8" borderId="1" xfId="0" applyNumberFormat="1" applyFont="1" applyFill="1" applyBorder="1" applyAlignment="1">
      <alignment horizontal="right" vertical="center"/>
    </xf>
    <xf numFmtId="0" fontId="11" fillId="8" borderId="0" xfId="0" applyFont="1" applyFill="1" applyAlignment="1">
      <alignment horizontal="left" vertical="center"/>
    </xf>
    <xf numFmtId="164" fontId="11" fillId="8" borderId="0" xfId="0" applyNumberFormat="1" applyFont="1" applyFill="1" applyAlignment="1">
      <alignment horizontal="right" vertical="center"/>
    </xf>
    <xf numFmtId="0" fontId="32" fillId="5" borderId="2" xfId="0" applyFont="1" applyFill="1" applyBorder="1" applyAlignment="1">
      <alignment horizontal="left" vertical="center"/>
    </xf>
    <xf numFmtId="164" fontId="32" fillId="5" borderId="2" xfId="0" applyNumberFormat="1" applyFont="1" applyFill="1" applyBorder="1" applyAlignment="1">
      <alignment horizontal="right" vertical="center"/>
    </xf>
    <xf numFmtId="0" fontId="16" fillId="0" borderId="0" xfId="0" applyFont="1" applyAlignment="1">
      <alignment horizontal="left" vertical="center"/>
    </xf>
    <xf numFmtId="164" fontId="16" fillId="5" borderId="0" xfId="4" applyNumberFormat="1" applyFont="1" applyFill="1" applyBorder="1" applyAlignment="1" applyProtection="1">
      <alignment horizontal="right" vertical="center"/>
      <protection hidden="1"/>
    </xf>
    <xf numFmtId="49" fontId="12" fillId="5" borderId="0" xfId="0" applyNumberFormat="1" applyFont="1" applyFill="1" applyAlignment="1" applyProtection="1">
      <alignment horizontal="left" vertical="center"/>
      <protection hidden="1"/>
    </xf>
    <xf numFmtId="0" fontId="20" fillId="5" borderId="0" xfId="0" applyFont="1" applyFill="1" applyAlignment="1" applyProtection="1">
      <alignment horizontal="left" vertical="center" wrapText="1"/>
      <protection hidden="1"/>
    </xf>
    <xf numFmtId="164" fontId="12" fillId="5" borderId="0" xfId="4" applyNumberFormat="1" applyFont="1" applyFill="1" applyBorder="1" applyAlignment="1" applyProtection="1">
      <alignment horizontal="right" vertical="center"/>
      <protection hidden="1"/>
    </xf>
    <xf numFmtId="164" fontId="7" fillId="5" borderId="0" xfId="4" applyNumberFormat="1" applyFont="1" applyFill="1" applyBorder="1" applyAlignment="1" applyProtection="1">
      <alignment horizontal="right" vertical="center"/>
      <protection hidden="1"/>
    </xf>
    <xf numFmtId="0" fontId="13" fillId="5" borderId="0" xfId="0" applyFont="1" applyFill="1" applyAlignment="1" applyProtection="1">
      <alignment horizontal="left" vertical="center" wrapText="1"/>
      <protection hidden="1"/>
    </xf>
    <xf numFmtId="164" fontId="20" fillId="5" borderId="0" xfId="4" applyNumberFormat="1" applyFont="1" applyFill="1" applyBorder="1" applyAlignment="1" applyProtection="1">
      <alignment horizontal="right" vertical="center"/>
      <protection hidden="1"/>
    </xf>
    <xf numFmtId="49" fontId="34" fillId="5" borderId="0" xfId="0" applyNumberFormat="1" applyFont="1" applyFill="1" applyAlignment="1" applyProtection="1">
      <alignment horizontal="left" vertical="center"/>
      <protection hidden="1"/>
    </xf>
    <xf numFmtId="0" fontId="12" fillId="5" borderId="0" xfId="0" applyFont="1" applyFill="1" applyAlignment="1" applyProtection="1">
      <alignment horizontal="left" vertical="center" wrapText="1"/>
      <protection hidden="1"/>
    </xf>
    <xf numFmtId="0" fontId="9" fillId="0" borderId="0" xfId="0" applyFont="1" applyFill="1" applyAlignment="1" applyProtection="1">
      <alignment horizontal="left" vertical="center"/>
      <protection hidden="1"/>
    </xf>
    <xf numFmtId="0" fontId="4" fillId="0" borderId="0" xfId="0" applyFont="1" applyFill="1" applyAlignment="1" applyProtection="1">
      <alignment horizontal="left" vertical="center" wrapText="1"/>
      <protection hidden="1"/>
    </xf>
    <xf numFmtId="164" fontId="7" fillId="0" borderId="0" xfId="4" applyNumberFormat="1" applyFont="1" applyFill="1" applyBorder="1" applyAlignment="1" applyProtection="1">
      <alignment horizontal="right" vertical="center"/>
      <protection hidden="1"/>
    </xf>
    <xf numFmtId="49" fontId="20" fillId="5" borderId="0" xfId="0" applyNumberFormat="1" applyFont="1" applyFill="1" applyAlignment="1" applyProtection="1">
      <alignment horizontal="left" vertical="center"/>
      <protection hidden="1"/>
    </xf>
    <xf numFmtId="0" fontId="9" fillId="0" borderId="0" xfId="0" applyFont="1" applyFill="1" applyAlignment="1" applyProtection="1">
      <alignment horizontal="left" vertical="center" wrapText="1"/>
      <protection hidden="1"/>
    </xf>
    <xf numFmtId="0" fontId="33" fillId="5" borderId="0" xfId="0" applyFont="1" applyFill="1" applyAlignment="1" applyProtection="1">
      <alignment horizontal="left" vertical="center"/>
      <protection hidden="1"/>
    </xf>
    <xf numFmtId="0" fontId="20" fillId="5" borderId="0" xfId="0" applyFont="1" applyFill="1" applyAlignment="1" applyProtection="1">
      <alignment horizontal="left" vertical="center"/>
      <protection hidden="1"/>
    </xf>
    <xf numFmtId="0" fontId="4" fillId="0" borderId="0" xfId="0" applyFont="1" applyFill="1" applyAlignment="1" applyProtection="1">
      <alignment horizontal="left" vertical="center"/>
      <protection hidden="1"/>
    </xf>
    <xf numFmtId="0" fontId="18" fillId="5" borderId="0" xfId="0" applyFont="1" applyFill="1" applyAlignment="1" applyProtection="1">
      <alignment horizontal="left" vertical="center" wrapText="1"/>
      <protection hidden="1"/>
    </xf>
    <xf numFmtId="0" fontId="7" fillId="0" borderId="0" xfId="0" applyFont="1" applyFill="1" applyAlignment="1" applyProtection="1">
      <alignment horizontal="left" vertical="center"/>
      <protection hidden="1"/>
    </xf>
    <xf numFmtId="0" fontId="33" fillId="0" borderId="0" xfId="0" applyFont="1" applyFill="1" applyAlignment="1" applyProtection="1">
      <alignment horizontal="left" vertical="center"/>
      <protection hidden="1"/>
    </xf>
    <xf numFmtId="0" fontId="12" fillId="5" borderId="0" xfId="0" applyFont="1" applyFill="1" applyAlignment="1" applyProtection="1">
      <alignment horizontal="left" vertical="center"/>
      <protection hidden="1"/>
    </xf>
    <xf numFmtId="0" fontId="16" fillId="5" borderId="0" xfId="0" applyFont="1" applyFill="1" applyAlignment="1" applyProtection="1">
      <alignment horizontal="left" vertical="center"/>
      <protection hidden="1"/>
    </xf>
    <xf numFmtId="49" fontId="18" fillId="5" borderId="0" xfId="0" applyNumberFormat="1" applyFont="1" applyFill="1" applyAlignment="1">
      <alignment horizontal="left" vertical="center" wrapText="1"/>
    </xf>
    <xf numFmtId="0" fontId="12" fillId="5" borderId="0" xfId="0" applyFont="1" applyFill="1" applyAlignment="1">
      <alignment horizontal="left" vertical="center" wrapText="1"/>
    </xf>
    <xf numFmtId="0" fontId="36" fillId="5" borderId="0" xfId="0" applyFont="1" applyFill="1" applyAlignment="1" applyProtection="1">
      <alignment horizontal="left" vertical="center" wrapText="1"/>
      <protection hidden="1"/>
    </xf>
    <xf numFmtId="49" fontId="13" fillId="5" borderId="0" xfId="0" applyNumberFormat="1" applyFont="1" applyFill="1" applyAlignment="1">
      <alignment horizontal="left" vertical="center"/>
    </xf>
    <xf numFmtId="0" fontId="4" fillId="0" borderId="0" xfId="0" applyFont="1" applyFill="1" applyAlignment="1">
      <alignment horizontal="left" vertical="center"/>
    </xf>
    <xf numFmtId="49" fontId="9" fillId="0" borderId="0" xfId="0" applyNumberFormat="1" applyFont="1" applyFill="1" applyAlignment="1">
      <alignment horizontal="left" vertical="center" wrapText="1"/>
    </xf>
    <xf numFmtId="0" fontId="4" fillId="5" borderId="0" xfId="0" applyFont="1" applyFill="1" applyAlignment="1">
      <alignment horizontal="left" vertical="center"/>
    </xf>
    <xf numFmtId="49" fontId="7" fillId="5" borderId="0" xfId="0" applyNumberFormat="1" applyFont="1" applyFill="1" applyAlignment="1">
      <alignment horizontal="left" vertical="center" wrapText="1"/>
    </xf>
    <xf numFmtId="49" fontId="9" fillId="5" borderId="0" xfId="0" applyNumberFormat="1" applyFont="1" applyFill="1" applyAlignment="1">
      <alignment horizontal="left" vertical="center" wrapText="1"/>
    </xf>
    <xf numFmtId="0" fontId="33" fillId="5" borderId="0" xfId="0" applyFont="1" applyFill="1" applyAlignment="1">
      <alignment horizontal="left" vertical="center"/>
    </xf>
    <xf numFmtId="49" fontId="16" fillId="5" borderId="0" xfId="0" applyNumberFormat="1" applyFont="1" applyFill="1" applyAlignment="1">
      <alignment horizontal="left" vertical="center" wrapText="1"/>
    </xf>
    <xf numFmtId="0" fontId="20" fillId="5" borderId="0" xfId="0" applyFont="1" applyFill="1" applyAlignment="1">
      <alignment horizontal="left" vertical="center"/>
    </xf>
    <xf numFmtId="49" fontId="12" fillId="5" borderId="0" xfId="0" applyNumberFormat="1" applyFont="1" applyFill="1" applyAlignment="1">
      <alignment horizontal="left" vertical="center" wrapText="1"/>
    </xf>
    <xf numFmtId="164" fontId="20" fillId="5" borderId="0" xfId="3" applyNumberFormat="1" applyFont="1" applyFill="1" applyBorder="1" applyAlignment="1" applyProtection="1">
      <alignment horizontal="right" vertical="center"/>
      <protection hidden="1"/>
    </xf>
    <xf numFmtId="164" fontId="12" fillId="5" borderId="1" xfId="3" applyNumberFormat="1" applyFont="1" applyFill="1" applyBorder="1" applyAlignment="1" applyProtection="1">
      <alignment horizontal="right" vertical="center"/>
      <protection hidden="1"/>
    </xf>
    <xf numFmtId="164" fontId="7" fillId="0" borderId="0" xfId="3" applyNumberFormat="1" applyFont="1" applyFill="1" applyBorder="1" applyAlignment="1" applyProtection="1">
      <alignment horizontal="right" vertical="center"/>
      <protection hidden="1"/>
    </xf>
    <xf numFmtId="49" fontId="20" fillId="5" borderId="0" xfId="0" applyNumberFormat="1" applyFont="1" applyFill="1" applyAlignment="1">
      <alignment horizontal="left" vertical="center"/>
    </xf>
    <xf numFmtId="164" fontId="12" fillId="5" borderId="0" xfId="3" applyNumberFormat="1" applyFont="1" applyFill="1" applyBorder="1" applyAlignment="1" applyProtection="1">
      <alignment horizontal="right" vertical="center"/>
      <protection hidden="1"/>
    </xf>
    <xf numFmtId="49" fontId="12" fillId="5" borderId="0" xfId="0" applyNumberFormat="1" applyFont="1" applyFill="1" applyAlignment="1">
      <alignment horizontal="left" vertical="center"/>
    </xf>
    <xf numFmtId="164" fontId="16" fillId="0" borderId="0" xfId="3" applyNumberFormat="1" applyFont="1" applyFill="1" applyBorder="1" applyAlignment="1" applyProtection="1">
      <alignment horizontal="right" vertical="center"/>
      <protection hidden="1"/>
    </xf>
    <xf numFmtId="0" fontId="35" fillId="0" borderId="0" xfId="0" applyFont="1" applyFill="1" applyAlignment="1" applyProtection="1">
      <alignment horizontal="left" vertical="center" wrapText="1"/>
      <protection hidden="1"/>
    </xf>
    <xf numFmtId="49" fontId="13" fillId="5" borderId="0" xfId="0" applyNumberFormat="1" applyFont="1" applyFill="1" applyAlignment="1">
      <alignment horizontal="left" vertical="center" wrapText="1"/>
    </xf>
    <xf numFmtId="164" fontId="20" fillId="5" borderId="0" xfId="0" applyNumberFormat="1" applyFont="1" applyFill="1" applyAlignment="1">
      <alignment horizontal="right" vertical="center"/>
    </xf>
    <xf numFmtId="164" fontId="16" fillId="5" borderId="0" xfId="0" applyNumberFormat="1" applyFont="1" applyFill="1" applyAlignment="1">
      <alignment horizontal="right" vertical="center"/>
    </xf>
    <xf numFmtId="49" fontId="34" fillId="5" borderId="0" xfId="0" applyNumberFormat="1" applyFont="1" applyFill="1" applyAlignment="1">
      <alignment horizontal="left" vertical="center"/>
    </xf>
    <xf numFmtId="49" fontId="20" fillId="5" borderId="0" xfId="0" applyNumberFormat="1" applyFont="1" applyFill="1" applyAlignment="1">
      <alignment horizontal="left" vertical="center" wrapText="1"/>
    </xf>
    <xf numFmtId="164" fontId="12" fillId="5" borderId="0" xfId="0" applyNumberFormat="1" applyFont="1" applyFill="1" applyAlignment="1">
      <alignment horizontal="right" vertical="center"/>
    </xf>
    <xf numFmtId="164" fontId="7" fillId="5" borderId="0" xfId="0" applyNumberFormat="1" applyFont="1" applyFill="1" applyAlignment="1">
      <alignment horizontal="right" vertical="center"/>
    </xf>
    <xf numFmtId="0" fontId="9" fillId="0" borderId="0" xfId="0" applyFont="1" applyFill="1" applyAlignment="1">
      <alignment horizontal="left" vertical="center" wrapText="1"/>
    </xf>
    <xf numFmtId="0" fontId="9" fillId="0" borderId="0" xfId="0" applyFont="1" applyFill="1" applyAlignment="1">
      <alignment horizontal="left" vertical="center"/>
    </xf>
    <xf numFmtId="49" fontId="12" fillId="5" borderId="0" xfId="0" applyNumberFormat="1" applyFont="1" applyFill="1" applyAlignment="1" applyProtection="1">
      <alignment horizontal="left" vertical="center" wrapText="1"/>
      <protection hidden="1"/>
    </xf>
    <xf numFmtId="0" fontId="20" fillId="5" borderId="0" xfId="0" applyFont="1" applyFill="1" applyAlignment="1">
      <alignment horizontal="left" vertical="center" wrapText="1"/>
    </xf>
    <xf numFmtId="0" fontId="4" fillId="0" borderId="0" xfId="0" applyFont="1" applyFill="1" applyAlignment="1">
      <alignment horizontal="left" vertical="center" wrapText="1"/>
    </xf>
    <xf numFmtId="49" fontId="9" fillId="0" borderId="0" xfId="0" applyNumberFormat="1" applyFont="1" applyFill="1" applyAlignment="1" applyProtection="1">
      <alignment horizontal="left" vertical="center" wrapText="1"/>
      <protection hidden="1"/>
    </xf>
    <xf numFmtId="0" fontId="13" fillId="5" borderId="0" xfId="0" applyFont="1" applyFill="1" applyAlignment="1">
      <alignment horizontal="left" vertical="center" wrapText="1"/>
    </xf>
    <xf numFmtId="164" fontId="9" fillId="0" borderId="0" xfId="0" applyNumberFormat="1" applyFont="1" applyFill="1" applyAlignment="1">
      <alignment horizontal="right" vertical="center"/>
    </xf>
    <xf numFmtId="49" fontId="18" fillId="5" borderId="0" xfId="0" applyNumberFormat="1" applyFont="1" applyFill="1" applyAlignment="1" applyProtection="1">
      <alignment horizontal="left" vertical="center" wrapText="1"/>
      <protection hidden="1"/>
    </xf>
    <xf numFmtId="0" fontId="32" fillId="5" borderId="0" xfId="0" applyFont="1" applyFill="1" applyAlignment="1" applyProtection="1">
      <alignment horizontal="left" vertical="center" wrapText="1"/>
      <protection hidden="1"/>
    </xf>
    <xf numFmtId="0" fontId="18" fillId="5" borderId="0" xfId="0" applyFont="1" applyFill="1" applyAlignment="1">
      <alignment horizontal="left" vertical="center" wrapText="1"/>
    </xf>
    <xf numFmtId="49" fontId="7" fillId="0" borderId="0" xfId="0" applyNumberFormat="1" applyFont="1" applyFill="1" applyAlignment="1">
      <alignment horizontal="left" vertical="center" wrapText="1"/>
    </xf>
    <xf numFmtId="0" fontId="7" fillId="0" borderId="0" xfId="0" applyFont="1" applyFill="1" applyAlignment="1" applyProtection="1">
      <alignment horizontal="left" vertical="center" wrapText="1"/>
      <protection hidden="1"/>
    </xf>
    <xf numFmtId="0" fontId="8" fillId="5" borderId="0" xfId="0" applyFont="1" applyFill="1" applyAlignment="1" applyProtection="1">
      <alignment horizontal="left" vertical="center"/>
      <protection hidden="1"/>
    </xf>
    <xf numFmtId="49" fontId="7" fillId="0" borderId="0" xfId="0" applyNumberFormat="1" applyFont="1" applyFill="1" applyAlignment="1">
      <alignment horizontal="left" vertical="center"/>
    </xf>
    <xf numFmtId="0" fontId="13" fillId="5" borderId="0" xfId="0" applyFont="1" applyFill="1" applyAlignment="1">
      <alignment horizontal="left" vertical="center"/>
    </xf>
    <xf numFmtId="49" fontId="4" fillId="0" borderId="0" xfId="0" applyNumberFormat="1" applyFont="1" applyFill="1" applyAlignment="1">
      <alignment horizontal="left" vertical="center"/>
    </xf>
    <xf numFmtId="164" fontId="18" fillId="5" borderId="0" xfId="4" applyNumberFormat="1" applyFont="1" applyFill="1" applyBorder="1" applyAlignment="1">
      <alignment horizontal="right" vertical="center"/>
    </xf>
    <xf numFmtId="49" fontId="20" fillId="5" borderId="0" xfId="0" applyNumberFormat="1" applyFont="1" applyFill="1" applyAlignment="1">
      <alignment horizontal="center" vertical="center" wrapText="1"/>
    </xf>
    <xf numFmtId="164" fontId="12" fillId="5" borderId="0" xfId="0" applyNumberFormat="1" applyFont="1" applyFill="1" applyAlignment="1">
      <alignment horizontal="center" vertical="center"/>
    </xf>
    <xf numFmtId="49" fontId="12" fillId="5" borderId="0" xfId="0" applyNumberFormat="1" applyFont="1" applyFill="1" applyAlignment="1">
      <alignment horizontal="center" vertical="center"/>
    </xf>
    <xf numFmtId="49" fontId="4" fillId="0" borderId="0" xfId="0" applyNumberFormat="1" applyFont="1" applyFill="1" applyAlignment="1">
      <alignment horizontal="left" vertical="center" wrapText="1"/>
    </xf>
    <xf numFmtId="0" fontId="18" fillId="5" borderId="0" xfId="0" applyFont="1" applyFill="1" applyAlignment="1" applyProtection="1">
      <alignment horizontal="left" vertical="center"/>
      <protection hidden="1"/>
    </xf>
    <xf numFmtId="0" fontId="20" fillId="5" borderId="6" xfId="0" applyFont="1" applyFill="1" applyBorder="1" applyAlignment="1">
      <alignment horizontal="left" vertical="center"/>
    </xf>
    <xf numFmtId="49" fontId="12" fillId="5" borderId="4" xfId="0" applyNumberFormat="1" applyFont="1" applyFill="1" applyBorder="1" applyAlignment="1">
      <alignment horizontal="left" vertical="center" wrapText="1"/>
    </xf>
    <xf numFmtId="49" fontId="9" fillId="0" borderId="0" xfId="0" applyNumberFormat="1" applyFont="1" applyFill="1" applyAlignment="1">
      <alignment horizontal="left" vertical="center"/>
    </xf>
    <xf numFmtId="49" fontId="20" fillId="0" borderId="0" xfId="0" applyNumberFormat="1" applyFont="1" applyFill="1" applyAlignment="1">
      <alignment horizontal="left" vertical="center"/>
    </xf>
    <xf numFmtId="49" fontId="12" fillId="0" borderId="0" xfId="0" applyNumberFormat="1" applyFont="1" applyFill="1" applyAlignment="1">
      <alignment horizontal="left" vertical="center" wrapText="1"/>
    </xf>
    <xf numFmtId="164" fontId="12" fillId="0" borderId="0" xfId="0" applyNumberFormat="1" applyFont="1" applyFill="1" applyAlignment="1">
      <alignment horizontal="right" vertical="center"/>
    </xf>
    <xf numFmtId="164" fontId="20" fillId="5" borderId="0" xfId="0" applyNumberFormat="1" applyFont="1" applyFill="1" applyAlignment="1" applyProtection="1">
      <alignment horizontal="right" vertical="center"/>
      <protection hidden="1"/>
    </xf>
    <xf numFmtId="49" fontId="13" fillId="5" borderId="0" xfId="0" applyNumberFormat="1" applyFont="1" applyFill="1" applyAlignment="1" applyProtection="1">
      <alignment horizontal="left" vertical="center" wrapText="1"/>
      <protection hidden="1"/>
    </xf>
    <xf numFmtId="164" fontId="20" fillId="5" borderId="0" xfId="4" applyNumberFormat="1" applyFont="1" applyFill="1" applyBorder="1" applyAlignment="1">
      <alignment horizontal="right" vertical="center"/>
    </xf>
    <xf numFmtId="0" fontId="32" fillId="5" borderId="0" xfId="0" applyFont="1" applyFill="1" applyAlignment="1">
      <alignment horizontal="left" vertical="center"/>
    </xf>
    <xf numFmtId="164" fontId="13" fillId="5" borderId="0" xfId="5" applyNumberFormat="1" applyFont="1" applyFill="1" applyBorder="1" applyAlignment="1">
      <alignment horizontal="right" vertical="center"/>
    </xf>
    <xf numFmtId="164" fontId="20" fillId="5" borderId="0" xfId="3" applyNumberFormat="1" applyFont="1" applyFill="1" applyBorder="1" applyAlignment="1">
      <alignment horizontal="right" vertical="center"/>
    </xf>
    <xf numFmtId="164" fontId="13" fillId="5" borderId="0" xfId="0" applyNumberFormat="1" applyFont="1" applyFill="1" applyAlignment="1">
      <alignment horizontal="right" vertical="center"/>
    </xf>
    <xf numFmtId="0" fontId="37" fillId="5" borderId="0" xfId="0" applyFont="1" applyFill="1" applyAlignment="1">
      <alignment horizontal="left" vertical="center"/>
    </xf>
  </cellXfs>
  <cellStyles count="17">
    <cellStyle name="Comma" xfId="3" builtinId="3"/>
    <cellStyle name="Currency" xfId="4" builtinId="4"/>
    <cellStyle name="Currency 10" xfId="8" xr:uid="{32030D56-21FE-46A9-8D27-6F4B64BA5347}"/>
    <cellStyle name="Currency 11" xfId="15" xr:uid="{0137DA6C-F276-47E2-B20E-D8B54F81D91A}"/>
    <cellStyle name="Currency 12" xfId="9" xr:uid="{C2124EB5-FD8F-40C4-8BE9-57F8A4708389}"/>
    <cellStyle name="Currency 13" xfId="11" xr:uid="{2F1AE9BA-4806-4A81-8F59-7A502223A0B2}"/>
    <cellStyle name="Currency 5" xfId="16" xr:uid="{37DFFE33-3C9A-4BC7-8D51-DF1988568365}"/>
    <cellStyle name="Currency 6" xfId="7" xr:uid="{82920D51-FC1B-4703-A2FF-6C2966CA6EA5}"/>
    <cellStyle name="Currency 7" xfId="13" xr:uid="{DA9C2C0D-BB0A-42DA-969B-2A093EBCD651}"/>
    <cellStyle name="Currency 8" xfId="10" xr:uid="{09BDF09E-D2D7-4C33-86F2-4B412AE302DC}"/>
    <cellStyle name="Currency 9" xfId="12" xr:uid="{265983DA-91D6-4C3E-8A9A-8D7D4E465AD7}"/>
    <cellStyle name="Normal" xfId="0" builtinId="0"/>
    <cellStyle name="Normal 10" xfId="1" xr:uid="{8937D513-DB67-428A-83F0-2A55DE92C1B5}"/>
    <cellStyle name="Normal 2" xfId="14" xr:uid="{B092E1D3-71C3-41DE-B4F1-88FE891D06D1}"/>
    <cellStyle name="Normal 4" xfId="2" xr:uid="{AB20C5E1-4848-4869-87B6-DE56DFBA187F}"/>
    <cellStyle name="Normal 5" xfId="6" xr:uid="{686AB276-2987-41E8-942F-0837DFB25E7F}"/>
    <cellStyle name="Percent" xfId="5" builtinId="5"/>
  </cellStyles>
  <dxfs count="1">
    <dxf>
      <fill>
        <patternFill>
          <bgColor rgb="FFFF0000"/>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314325</xdr:colOff>
          <xdr:row>40</xdr:row>
          <xdr:rowOff>57150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4D89DF87-8838-4FB9-BA4F-98D373E467A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39556-B114-4E5B-B14C-825F131C831F}">
  <dimension ref="A1"/>
  <sheetViews>
    <sheetView tabSelected="1" workbookViewId="0">
      <selection activeCell="P26" sqref="P26"/>
    </sheetView>
  </sheetViews>
  <sheetFormatPr defaultRowHeight="15" x14ac:dyDescent="0.25"/>
  <sheetData/>
  <pageMargins left="0.7" right="0.7" top="0.75" bottom="0.75" header="0.3" footer="0.3"/>
  <pageSetup orientation="portrait" r:id="rId1"/>
  <drawing r:id="rId2"/>
  <legacyDrawing r:id="rId3"/>
  <oleObjects>
    <mc:AlternateContent xmlns:mc="http://schemas.openxmlformats.org/markup-compatibility/2006">
      <mc:Choice Requires="x14">
        <oleObject progId="Document" shapeId="1025" r:id="rId4">
          <objectPr defaultSize="0" r:id="rId5">
            <anchor moveWithCells="1">
              <from>
                <xdr:col>0</xdr:col>
                <xdr:colOff>0</xdr:colOff>
                <xdr:row>0</xdr:row>
                <xdr:rowOff>0</xdr:rowOff>
              </from>
              <to>
                <xdr:col>10</xdr:col>
                <xdr:colOff>314325</xdr:colOff>
                <xdr:row>40</xdr:row>
                <xdr:rowOff>57150</xdr:rowOff>
              </to>
            </anchor>
          </objectPr>
        </oleObject>
      </mc:Choice>
      <mc:Fallback>
        <oleObject progId="Document"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553F9-C4B2-425F-957E-02384F919C24}">
  <dimension ref="A1:J597"/>
  <sheetViews>
    <sheetView zoomScale="80" zoomScaleNormal="80" workbookViewId="0">
      <selection activeCell="B2" sqref="B2"/>
    </sheetView>
  </sheetViews>
  <sheetFormatPr defaultColWidth="8.85546875" defaultRowHeight="15.75" x14ac:dyDescent="0.25"/>
  <cols>
    <col min="1" max="1" width="40.7109375" style="27" customWidth="1"/>
    <col min="2" max="2" width="105.7109375" style="27" customWidth="1"/>
    <col min="3" max="3" width="15.7109375" style="43" customWidth="1"/>
    <col min="4" max="16384" width="8.85546875" style="1"/>
  </cols>
  <sheetData>
    <row r="1" spans="1:3" ht="20.25" x14ac:dyDescent="0.25">
      <c r="A1" s="8" t="s">
        <v>0</v>
      </c>
      <c r="B1" s="8" t="s">
        <v>1</v>
      </c>
      <c r="C1" s="29" t="s">
        <v>2</v>
      </c>
    </row>
    <row r="2" spans="1:3" ht="18" x14ac:dyDescent="0.25">
      <c r="A2" s="25"/>
      <c r="B2" s="25" t="s">
        <v>3</v>
      </c>
      <c r="C2" s="11"/>
    </row>
    <row r="3" spans="1:3" x14ac:dyDescent="0.25">
      <c r="A3" s="12" t="s">
        <v>4</v>
      </c>
      <c r="B3" s="12" t="s">
        <v>5</v>
      </c>
      <c r="C3" s="32">
        <v>2850</v>
      </c>
    </row>
    <row r="4" spans="1:3" x14ac:dyDescent="0.25">
      <c r="A4" s="12" t="s">
        <v>6</v>
      </c>
      <c r="B4" s="12" t="s">
        <v>7</v>
      </c>
      <c r="C4" s="32">
        <v>2850</v>
      </c>
    </row>
    <row r="5" spans="1:3" x14ac:dyDescent="0.25">
      <c r="A5" s="12" t="s">
        <v>8</v>
      </c>
      <c r="B5" s="12" t="s">
        <v>9</v>
      </c>
      <c r="C5" s="32">
        <v>2900</v>
      </c>
    </row>
    <row r="6" spans="1:3" x14ac:dyDescent="0.25">
      <c r="A6" s="12" t="s">
        <v>10</v>
      </c>
      <c r="B6" s="12" t="s">
        <v>11</v>
      </c>
      <c r="C6" s="32">
        <v>2900</v>
      </c>
    </row>
    <row r="7" spans="1:3" x14ac:dyDescent="0.25">
      <c r="A7" s="12" t="s">
        <v>12</v>
      </c>
      <c r="B7" s="12" t="s">
        <v>13</v>
      </c>
      <c r="C7" s="32">
        <v>2850</v>
      </c>
    </row>
    <row r="8" spans="1:3" x14ac:dyDescent="0.25">
      <c r="A8" s="12" t="s">
        <v>14</v>
      </c>
      <c r="B8" s="12" t="s">
        <v>15</v>
      </c>
      <c r="C8" s="32">
        <v>2850</v>
      </c>
    </row>
    <row r="9" spans="1:3" x14ac:dyDescent="0.25">
      <c r="A9" s="12" t="s">
        <v>16</v>
      </c>
      <c r="B9" s="12" t="s">
        <v>17</v>
      </c>
      <c r="C9" s="32">
        <v>2900</v>
      </c>
    </row>
    <row r="10" spans="1:3" x14ac:dyDescent="0.25">
      <c r="A10" s="12" t="s">
        <v>18</v>
      </c>
      <c r="B10" s="12" t="s">
        <v>19</v>
      </c>
      <c r="C10" s="32">
        <v>2900</v>
      </c>
    </row>
    <row r="11" spans="1:3" x14ac:dyDescent="0.25">
      <c r="A11" s="12" t="s">
        <v>20</v>
      </c>
      <c r="B11" s="12" t="s">
        <v>21</v>
      </c>
      <c r="C11" s="32">
        <v>2950</v>
      </c>
    </row>
    <row r="12" spans="1:3" x14ac:dyDescent="0.25">
      <c r="A12" s="12" t="s">
        <v>22</v>
      </c>
      <c r="B12" s="12" t="s">
        <v>23</v>
      </c>
      <c r="C12" s="32">
        <v>2950</v>
      </c>
    </row>
    <row r="13" spans="1:3" x14ac:dyDescent="0.25">
      <c r="A13" s="12" t="s">
        <v>24</v>
      </c>
      <c r="B13" s="12" t="s">
        <v>25</v>
      </c>
      <c r="C13" s="32">
        <v>3200</v>
      </c>
    </row>
    <row r="14" spans="1:3" x14ac:dyDescent="0.25">
      <c r="A14" s="12" t="s">
        <v>26</v>
      </c>
      <c r="B14" s="12" t="s">
        <v>27</v>
      </c>
      <c r="C14" s="32">
        <v>3200</v>
      </c>
    </row>
    <row r="15" spans="1:3" x14ac:dyDescent="0.25">
      <c r="A15" s="12" t="s">
        <v>28</v>
      </c>
      <c r="B15" s="12" t="s">
        <v>29</v>
      </c>
      <c r="C15" s="32">
        <v>2850</v>
      </c>
    </row>
    <row r="16" spans="1:3" x14ac:dyDescent="0.25">
      <c r="A16" s="12" t="s">
        <v>30</v>
      </c>
      <c r="B16" s="12" t="s">
        <v>31</v>
      </c>
      <c r="C16" s="32">
        <v>2850</v>
      </c>
    </row>
    <row r="17" spans="1:3" x14ac:dyDescent="0.25">
      <c r="A17" s="12" t="s">
        <v>32</v>
      </c>
      <c r="B17" s="12" t="s">
        <v>33</v>
      </c>
      <c r="C17" s="32">
        <v>2900</v>
      </c>
    </row>
    <row r="18" spans="1:3" x14ac:dyDescent="0.25">
      <c r="A18" s="12" t="s">
        <v>34</v>
      </c>
      <c r="B18" s="12" t="s">
        <v>35</v>
      </c>
      <c r="C18" s="32">
        <v>2900</v>
      </c>
    </row>
    <row r="19" spans="1:3" x14ac:dyDescent="0.25">
      <c r="A19" s="12" t="s">
        <v>36</v>
      </c>
      <c r="B19" s="12" t="s">
        <v>37</v>
      </c>
      <c r="C19" s="32">
        <v>2850</v>
      </c>
    </row>
    <row r="20" spans="1:3" x14ac:dyDescent="0.25">
      <c r="A20" s="12" t="s">
        <v>38</v>
      </c>
      <c r="B20" s="12" t="s">
        <v>39</v>
      </c>
      <c r="C20" s="32">
        <v>2850</v>
      </c>
    </row>
    <row r="21" spans="1:3" x14ac:dyDescent="0.25">
      <c r="A21" s="12" t="s">
        <v>40</v>
      </c>
      <c r="B21" s="12" t="s">
        <v>41</v>
      </c>
      <c r="C21" s="32">
        <v>2900</v>
      </c>
    </row>
    <row r="22" spans="1:3" x14ac:dyDescent="0.25">
      <c r="A22" s="12" t="s">
        <v>42</v>
      </c>
      <c r="B22" s="12" t="s">
        <v>43</v>
      </c>
      <c r="C22" s="32">
        <v>2900</v>
      </c>
    </row>
    <row r="23" spans="1:3" ht="18" x14ac:dyDescent="0.25">
      <c r="A23" s="47"/>
      <c r="B23" s="53" t="s">
        <v>44</v>
      </c>
      <c r="C23" s="54"/>
    </row>
    <row r="24" spans="1:3" x14ac:dyDescent="0.25">
      <c r="A24" s="12" t="s">
        <v>45</v>
      </c>
      <c r="B24" s="12" t="s">
        <v>46</v>
      </c>
      <c r="C24" s="32">
        <v>2650</v>
      </c>
    </row>
    <row r="25" spans="1:3" x14ac:dyDescent="0.25">
      <c r="A25" s="12" t="s">
        <v>47</v>
      </c>
      <c r="B25" s="12" t="s">
        <v>48</v>
      </c>
      <c r="C25" s="32">
        <v>2500</v>
      </c>
    </row>
    <row r="26" spans="1:3" x14ac:dyDescent="0.25">
      <c r="A26" s="12" t="s">
        <v>49</v>
      </c>
      <c r="B26" s="12" t="s">
        <v>50</v>
      </c>
      <c r="C26" s="32">
        <v>2650</v>
      </c>
    </row>
    <row r="27" spans="1:3" x14ac:dyDescent="0.25">
      <c r="A27" s="12" t="s">
        <v>51</v>
      </c>
      <c r="B27" s="12" t="s">
        <v>52</v>
      </c>
      <c r="C27" s="32">
        <v>2500</v>
      </c>
    </row>
    <row r="28" spans="1:3" x14ac:dyDescent="0.25">
      <c r="A28" s="12" t="s">
        <v>53</v>
      </c>
      <c r="B28" s="12" t="s">
        <v>54</v>
      </c>
      <c r="C28" s="32">
        <v>2650</v>
      </c>
    </row>
    <row r="29" spans="1:3" x14ac:dyDescent="0.25">
      <c r="A29" s="12" t="s">
        <v>55</v>
      </c>
      <c r="B29" s="12" t="s">
        <v>56</v>
      </c>
      <c r="C29" s="32">
        <v>2500</v>
      </c>
    </row>
    <row r="30" spans="1:3" x14ac:dyDescent="0.25">
      <c r="A30" s="12" t="s">
        <v>57</v>
      </c>
      <c r="B30" s="12" t="s">
        <v>58</v>
      </c>
      <c r="C30" s="32">
        <v>2650</v>
      </c>
    </row>
    <row r="31" spans="1:3" x14ac:dyDescent="0.25">
      <c r="A31" s="12" t="s">
        <v>59</v>
      </c>
      <c r="B31" s="12" t="s">
        <v>60</v>
      </c>
      <c r="C31" s="32">
        <v>2500</v>
      </c>
    </row>
    <row r="32" spans="1:3" ht="18" x14ac:dyDescent="0.25">
      <c r="A32" s="47"/>
      <c r="B32" s="53" t="s">
        <v>61</v>
      </c>
      <c r="C32" s="54"/>
    </row>
    <row r="33" spans="1:10" x14ac:dyDescent="0.25">
      <c r="A33" s="12" t="s">
        <v>62</v>
      </c>
      <c r="B33" s="4" t="s">
        <v>63</v>
      </c>
      <c r="C33" s="5">
        <v>85</v>
      </c>
    </row>
    <row r="34" spans="1:10" x14ac:dyDescent="0.25">
      <c r="A34" s="12" t="s">
        <v>64</v>
      </c>
      <c r="B34" s="4" t="s">
        <v>65</v>
      </c>
      <c r="C34" s="5">
        <v>85</v>
      </c>
    </row>
    <row r="35" spans="1:10" x14ac:dyDescent="0.25">
      <c r="A35" s="12" t="s">
        <v>66</v>
      </c>
      <c r="B35" s="4" t="s">
        <v>67</v>
      </c>
      <c r="C35" s="5">
        <v>85</v>
      </c>
    </row>
    <row r="36" spans="1:10" x14ac:dyDescent="0.25">
      <c r="A36" s="12" t="s">
        <v>68</v>
      </c>
      <c r="B36" s="12" t="s">
        <v>69</v>
      </c>
      <c r="C36" s="32">
        <v>120</v>
      </c>
    </row>
    <row r="37" spans="1:10" x14ac:dyDescent="0.25">
      <c r="A37" s="12" t="s">
        <v>70</v>
      </c>
      <c r="B37" s="12" t="s">
        <v>71</v>
      </c>
      <c r="C37" s="32">
        <v>130</v>
      </c>
    </row>
    <row r="38" spans="1:10" x14ac:dyDescent="0.25">
      <c r="A38" s="12" t="s">
        <v>72</v>
      </c>
      <c r="B38" s="12" t="s">
        <v>73</v>
      </c>
      <c r="C38" s="32">
        <v>50</v>
      </c>
    </row>
    <row r="39" spans="1:10" ht="18" x14ac:dyDescent="0.25">
      <c r="A39" s="47"/>
      <c r="B39" s="53" t="s">
        <v>74</v>
      </c>
      <c r="C39" s="54"/>
    </row>
    <row r="40" spans="1:10" x14ac:dyDescent="0.25">
      <c r="A40" s="12" t="s">
        <v>75</v>
      </c>
      <c r="B40" s="12" t="s">
        <v>76</v>
      </c>
      <c r="C40" s="32">
        <v>105</v>
      </c>
      <c r="J40" s="9"/>
    </row>
    <row r="41" spans="1:10" x14ac:dyDescent="0.25">
      <c r="A41" s="12" t="s">
        <v>77</v>
      </c>
      <c r="B41" s="12" t="s">
        <v>78</v>
      </c>
      <c r="C41" s="32">
        <v>50</v>
      </c>
    </row>
    <row r="42" spans="1:10" x14ac:dyDescent="0.25">
      <c r="A42" s="12" t="s">
        <v>79</v>
      </c>
      <c r="B42" s="12" t="s">
        <v>80</v>
      </c>
      <c r="C42" s="32">
        <v>105</v>
      </c>
    </row>
    <row r="43" spans="1:10" x14ac:dyDescent="0.25">
      <c r="A43" s="12" t="s">
        <v>77</v>
      </c>
      <c r="B43" s="12" t="s">
        <v>81</v>
      </c>
      <c r="C43" s="32">
        <v>50</v>
      </c>
    </row>
    <row r="44" spans="1:10" x14ac:dyDescent="0.25">
      <c r="A44" s="12" t="s">
        <v>82</v>
      </c>
      <c r="B44" s="12" t="s">
        <v>83</v>
      </c>
      <c r="C44" s="32">
        <v>105</v>
      </c>
    </row>
    <row r="45" spans="1:10" x14ac:dyDescent="0.25">
      <c r="A45" s="12" t="s">
        <v>84</v>
      </c>
      <c r="B45" s="12" t="s">
        <v>85</v>
      </c>
      <c r="C45" s="32">
        <v>105</v>
      </c>
    </row>
    <row r="46" spans="1:10" x14ac:dyDescent="0.25">
      <c r="A46" s="12" t="s">
        <v>77</v>
      </c>
      <c r="B46" s="12" t="s">
        <v>86</v>
      </c>
      <c r="C46" s="32">
        <v>50</v>
      </c>
    </row>
    <row r="47" spans="1:10" x14ac:dyDescent="0.25">
      <c r="A47" s="12" t="s">
        <v>87</v>
      </c>
      <c r="B47" s="12" t="s">
        <v>88</v>
      </c>
      <c r="C47" s="32">
        <v>105</v>
      </c>
    </row>
    <row r="48" spans="1:10" x14ac:dyDescent="0.25">
      <c r="A48" s="12" t="s">
        <v>77</v>
      </c>
      <c r="B48" s="12" t="s">
        <v>89</v>
      </c>
      <c r="C48" s="32">
        <v>50</v>
      </c>
    </row>
    <row r="49" spans="1:3" x14ac:dyDescent="0.25">
      <c r="A49" s="12" t="s">
        <v>90</v>
      </c>
      <c r="B49" s="12" t="s">
        <v>91</v>
      </c>
      <c r="C49" s="32">
        <v>105</v>
      </c>
    </row>
    <row r="50" spans="1:3" x14ac:dyDescent="0.25">
      <c r="A50" s="12" t="s">
        <v>77</v>
      </c>
      <c r="B50" s="12" t="s">
        <v>92</v>
      </c>
      <c r="C50" s="32">
        <v>50</v>
      </c>
    </row>
    <row r="51" spans="1:3" ht="18" x14ac:dyDescent="0.25">
      <c r="A51" s="21"/>
      <c r="B51" s="53" t="s">
        <v>93</v>
      </c>
      <c r="C51" s="54"/>
    </row>
    <row r="52" spans="1:3" x14ac:dyDescent="0.25">
      <c r="A52" s="12" t="s">
        <v>94</v>
      </c>
      <c r="B52" s="12" t="s">
        <v>95</v>
      </c>
      <c r="C52" s="32">
        <v>1450</v>
      </c>
    </row>
    <row r="53" spans="1:3" x14ac:dyDescent="0.25">
      <c r="A53" s="12" t="s">
        <v>96</v>
      </c>
      <c r="B53" s="12" t="s">
        <v>97</v>
      </c>
      <c r="C53" s="32">
        <v>1450</v>
      </c>
    </row>
    <row r="54" spans="1:3" x14ac:dyDescent="0.25">
      <c r="A54" s="12" t="s">
        <v>98</v>
      </c>
      <c r="B54" s="12" t="s">
        <v>99</v>
      </c>
      <c r="C54" s="32">
        <v>1450</v>
      </c>
    </row>
    <row r="55" spans="1:3" x14ac:dyDescent="0.25">
      <c r="A55" s="12" t="s">
        <v>100</v>
      </c>
      <c r="B55" s="12" t="s">
        <v>101</v>
      </c>
      <c r="C55" s="32">
        <v>1450</v>
      </c>
    </row>
    <row r="56" spans="1:3" x14ac:dyDescent="0.25">
      <c r="A56" s="12" t="s">
        <v>102</v>
      </c>
      <c r="B56" s="12" t="s">
        <v>103</v>
      </c>
      <c r="C56" s="32">
        <v>1450</v>
      </c>
    </row>
    <row r="57" spans="1:3" x14ac:dyDescent="0.25">
      <c r="A57" s="12" t="s">
        <v>104</v>
      </c>
      <c r="B57" s="12" t="s">
        <v>105</v>
      </c>
      <c r="C57" s="32">
        <v>1450</v>
      </c>
    </row>
    <row r="58" spans="1:3" ht="18" x14ac:dyDescent="0.25">
      <c r="A58" s="47"/>
      <c r="B58" s="53" t="s">
        <v>106</v>
      </c>
      <c r="C58" s="54"/>
    </row>
    <row r="59" spans="1:3" x14ac:dyDescent="0.25">
      <c r="A59" s="12" t="s">
        <v>107</v>
      </c>
      <c r="B59" s="12" t="s">
        <v>108</v>
      </c>
      <c r="C59" s="32">
        <v>1200</v>
      </c>
    </row>
    <row r="60" spans="1:3" x14ac:dyDescent="0.25">
      <c r="A60" s="12" t="s">
        <v>109</v>
      </c>
      <c r="B60" s="12" t="s">
        <v>110</v>
      </c>
      <c r="C60" s="32">
        <v>1200</v>
      </c>
    </row>
    <row r="61" spans="1:3" x14ac:dyDescent="0.25">
      <c r="A61" s="12" t="s">
        <v>111</v>
      </c>
      <c r="B61" s="12" t="s">
        <v>112</v>
      </c>
      <c r="C61" s="32">
        <v>1200</v>
      </c>
    </row>
    <row r="62" spans="1:3" x14ac:dyDescent="0.25">
      <c r="A62" s="12" t="s">
        <v>113</v>
      </c>
      <c r="B62" s="12" t="s">
        <v>114</v>
      </c>
      <c r="C62" s="32">
        <v>1200</v>
      </c>
    </row>
    <row r="63" spans="1:3" x14ac:dyDescent="0.25">
      <c r="A63" s="12" t="s">
        <v>115</v>
      </c>
      <c r="B63" s="12" t="s">
        <v>116</v>
      </c>
      <c r="C63" s="32">
        <v>1200</v>
      </c>
    </row>
    <row r="64" spans="1:3" x14ac:dyDescent="0.25">
      <c r="A64" s="12" t="s">
        <v>117</v>
      </c>
      <c r="B64" s="12" t="s">
        <v>118</v>
      </c>
      <c r="C64" s="32">
        <v>1200</v>
      </c>
    </row>
    <row r="65" spans="1:3" ht="18" x14ac:dyDescent="0.25">
      <c r="A65" s="47"/>
      <c r="B65" s="53" t="s">
        <v>119</v>
      </c>
      <c r="C65" s="54"/>
    </row>
    <row r="66" spans="1:3" x14ac:dyDescent="0.25">
      <c r="A66" s="12" t="s">
        <v>120</v>
      </c>
      <c r="B66" s="12" t="s">
        <v>121</v>
      </c>
      <c r="C66" s="32">
        <v>1450</v>
      </c>
    </row>
    <row r="67" spans="1:3" x14ac:dyDescent="0.25">
      <c r="A67" s="12" t="s">
        <v>122</v>
      </c>
      <c r="B67" s="12" t="s">
        <v>123</v>
      </c>
      <c r="C67" s="32">
        <v>1450</v>
      </c>
    </row>
    <row r="68" spans="1:3" x14ac:dyDescent="0.25">
      <c r="A68" s="12" t="s">
        <v>124</v>
      </c>
      <c r="B68" s="12" t="s">
        <v>125</v>
      </c>
      <c r="C68" s="32">
        <v>1450</v>
      </c>
    </row>
    <row r="69" spans="1:3" x14ac:dyDescent="0.25">
      <c r="A69" s="12" t="s">
        <v>126</v>
      </c>
      <c r="B69" s="12" t="s">
        <v>127</v>
      </c>
      <c r="C69" s="32">
        <v>1450</v>
      </c>
    </row>
    <row r="70" spans="1:3" x14ac:dyDescent="0.25">
      <c r="A70" s="12" t="s">
        <v>128</v>
      </c>
      <c r="B70" s="12" t="s">
        <v>129</v>
      </c>
      <c r="C70" s="32">
        <v>1450</v>
      </c>
    </row>
    <row r="71" spans="1:3" x14ac:dyDescent="0.25">
      <c r="A71" s="12" t="s">
        <v>130</v>
      </c>
      <c r="B71" s="12" t="s">
        <v>131</v>
      </c>
      <c r="C71" s="32">
        <v>1450</v>
      </c>
    </row>
    <row r="72" spans="1:3" ht="18" x14ac:dyDescent="0.25">
      <c r="A72" s="47"/>
      <c r="B72" s="53" t="s">
        <v>132</v>
      </c>
      <c r="C72" s="54"/>
    </row>
    <row r="73" spans="1:3" x14ac:dyDescent="0.25">
      <c r="A73" s="12" t="s">
        <v>133</v>
      </c>
      <c r="B73" s="12" t="s">
        <v>134</v>
      </c>
      <c r="C73" s="32">
        <v>1380</v>
      </c>
    </row>
    <row r="74" spans="1:3" x14ac:dyDescent="0.25">
      <c r="A74" s="12" t="s">
        <v>135</v>
      </c>
      <c r="B74" s="12" t="s">
        <v>136</v>
      </c>
      <c r="C74" s="32">
        <v>1380</v>
      </c>
    </row>
    <row r="75" spans="1:3" x14ac:dyDescent="0.25">
      <c r="A75" s="12" t="s">
        <v>137</v>
      </c>
      <c r="B75" s="12" t="s">
        <v>138</v>
      </c>
      <c r="C75" s="32">
        <v>1380</v>
      </c>
    </row>
    <row r="76" spans="1:3" ht="18" x14ac:dyDescent="0.25">
      <c r="A76" s="47"/>
      <c r="B76" s="53" t="s">
        <v>139</v>
      </c>
      <c r="C76" s="54"/>
    </row>
    <row r="77" spans="1:3" x14ac:dyDescent="0.25">
      <c r="A77" s="12" t="s">
        <v>140</v>
      </c>
      <c r="B77" s="12" t="s">
        <v>141</v>
      </c>
      <c r="C77" s="32">
        <v>1450</v>
      </c>
    </row>
    <row r="78" spans="1:3" x14ac:dyDescent="0.25">
      <c r="A78" s="12" t="s">
        <v>142</v>
      </c>
      <c r="B78" s="12" t="s">
        <v>143</v>
      </c>
      <c r="C78" s="32">
        <v>1450</v>
      </c>
    </row>
    <row r="79" spans="1:3" x14ac:dyDescent="0.25">
      <c r="A79" s="12" t="s">
        <v>144</v>
      </c>
      <c r="B79" s="12" t="s">
        <v>145</v>
      </c>
      <c r="C79" s="32">
        <v>1450</v>
      </c>
    </row>
    <row r="80" spans="1:3" ht="18" x14ac:dyDescent="0.25">
      <c r="A80" s="47"/>
      <c r="B80" s="53" t="s">
        <v>146</v>
      </c>
      <c r="C80" s="54"/>
    </row>
    <row r="81" spans="1:3" x14ac:dyDescent="0.25">
      <c r="A81" s="12" t="s">
        <v>147</v>
      </c>
      <c r="B81" s="12" t="s">
        <v>148</v>
      </c>
      <c r="C81" s="32">
        <v>1200</v>
      </c>
    </row>
    <row r="82" spans="1:3" x14ac:dyDescent="0.25">
      <c r="A82" s="12" t="s">
        <v>149</v>
      </c>
      <c r="B82" s="12" t="s">
        <v>150</v>
      </c>
      <c r="C82" s="32">
        <v>1200</v>
      </c>
    </row>
    <row r="83" spans="1:3" x14ac:dyDescent="0.25">
      <c r="A83" s="12" t="s">
        <v>151</v>
      </c>
      <c r="B83" s="12" t="s">
        <v>152</v>
      </c>
      <c r="C83" s="32">
        <v>1200</v>
      </c>
    </row>
    <row r="84" spans="1:3" ht="18" x14ac:dyDescent="0.25">
      <c r="A84" s="47"/>
      <c r="B84" s="53" t="s">
        <v>153</v>
      </c>
      <c r="C84" s="54"/>
    </row>
    <row r="85" spans="1:3" x14ac:dyDescent="0.25">
      <c r="A85" s="12" t="s">
        <v>154</v>
      </c>
      <c r="B85" s="12" t="s">
        <v>155</v>
      </c>
      <c r="C85" s="32">
        <v>950</v>
      </c>
    </row>
    <row r="86" spans="1:3" x14ac:dyDescent="0.25">
      <c r="A86" s="12" t="s">
        <v>156</v>
      </c>
      <c r="B86" s="12" t="s">
        <v>157</v>
      </c>
      <c r="C86" s="32">
        <v>1100</v>
      </c>
    </row>
    <row r="87" spans="1:3" x14ac:dyDescent="0.25">
      <c r="A87" s="12" t="s">
        <v>158</v>
      </c>
      <c r="B87" s="12" t="s">
        <v>159</v>
      </c>
      <c r="C87" s="32">
        <v>1100</v>
      </c>
    </row>
    <row r="88" spans="1:3" x14ac:dyDescent="0.25">
      <c r="A88" s="12" t="s">
        <v>160</v>
      </c>
      <c r="B88" s="12" t="s">
        <v>161</v>
      </c>
      <c r="C88" s="32">
        <v>1200</v>
      </c>
    </row>
    <row r="89" spans="1:3" x14ac:dyDescent="0.25">
      <c r="A89" s="12" t="s">
        <v>162</v>
      </c>
      <c r="B89" s="12" t="s">
        <v>163</v>
      </c>
      <c r="C89" s="32">
        <v>1200</v>
      </c>
    </row>
    <row r="90" spans="1:3" x14ac:dyDescent="0.25">
      <c r="A90" s="12" t="s">
        <v>164</v>
      </c>
      <c r="B90" s="12" t="s">
        <v>165</v>
      </c>
      <c r="C90" s="32">
        <v>800</v>
      </c>
    </row>
    <row r="91" spans="1:3" x14ac:dyDescent="0.25">
      <c r="A91" s="12" t="s">
        <v>166</v>
      </c>
      <c r="B91" s="12" t="s">
        <v>167</v>
      </c>
      <c r="C91" s="32">
        <v>950</v>
      </c>
    </row>
    <row r="92" spans="1:3" x14ac:dyDescent="0.25">
      <c r="A92" s="12" t="s">
        <v>168</v>
      </c>
      <c r="B92" s="12" t="s">
        <v>169</v>
      </c>
      <c r="C92" s="32">
        <v>950</v>
      </c>
    </row>
    <row r="93" spans="1:3" x14ac:dyDescent="0.25">
      <c r="A93" s="12" t="s">
        <v>170</v>
      </c>
      <c r="B93" s="12" t="s">
        <v>171</v>
      </c>
      <c r="C93" s="32">
        <v>1050</v>
      </c>
    </row>
    <row r="94" spans="1:3" x14ac:dyDescent="0.25">
      <c r="A94" s="12" t="s">
        <v>172</v>
      </c>
      <c r="B94" s="12" t="s">
        <v>173</v>
      </c>
      <c r="C94" s="32">
        <v>1050</v>
      </c>
    </row>
    <row r="95" spans="1:3" ht="18" x14ac:dyDescent="0.25">
      <c r="A95" s="25"/>
      <c r="B95" s="25" t="s">
        <v>265</v>
      </c>
      <c r="C95" s="11"/>
    </row>
    <row r="96" spans="1:3" x14ac:dyDescent="0.25">
      <c r="A96" s="7" t="s">
        <v>174</v>
      </c>
      <c r="B96" s="13" t="s">
        <v>175</v>
      </c>
      <c r="C96" s="33">
        <v>3000</v>
      </c>
    </row>
    <row r="97" spans="1:3" x14ac:dyDescent="0.25">
      <c r="A97" s="7" t="s">
        <v>176</v>
      </c>
      <c r="B97" s="14" t="s">
        <v>177</v>
      </c>
      <c r="C97" s="34">
        <v>2700</v>
      </c>
    </row>
    <row r="98" spans="1:3" x14ac:dyDescent="0.25">
      <c r="A98" s="7" t="s">
        <v>178</v>
      </c>
      <c r="B98" s="13" t="s">
        <v>179</v>
      </c>
      <c r="C98" s="33">
        <v>2350</v>
      </c>
    </row>
    <row r="99" spans="1:3" x14ac:dyDescent="0.25">
      <c r="A99" s="7" t="s">
        <v>180</v>
      </c>
      <c r="B99" s="14" t="s">
        <v>181</v>
      </c>
      <c r="C99" s="34">
        <v>1500</v>
      </c>
    </row>
    <row r="100" spans="1:3" x14ac:dyDescent="0.25">
      <c r="A100" s="7" t="s">
        <v>182</v>
      </c>
      <c r="B100" s="13" t="s">
        <v>183</v>
      </c>
      <c r="C100" s="33">
        <v>1400</v>
      </c>
    </row>
    <row r="101" spans="1:3" x14ac:dyDescent="0.25">
      <c r="A101" s="7" t="s">
        <v>182</v>
      </c>
      <c r="B101" s="14" t="s">
        <v>184</v>
      </c>
      <c r="C101" s="34">
        <v>1100</v>
      </c>
    </row>
    <row r="102" spans="1:3" x14ac:dyDescent="0.25">
      <c r="A102" s="7" t="s">
        <v>182</v>
      </c>
      <c r="B102" s="13" t="s">
        <v>185</v>
      </c>
      <c r="C102" s="33">
        <v>1250</v>
      </c>
    </row>
    <row r="103" spans="1:3" x14ac:dyDescent="0.25">
      <c r="A103" s="7" t="s">
        <v>182</v>
      </c>
      <c r="B103" s="14" t="s">
        <v>186</v>
      </c>
      <c r="C103" s="34">
        <v>1400</v>
      </c>
    </row>
    <row r="104" spans="1:3" x14ac:dyDescent="0.25">
      <c r="A104" s="7" t="s">
        <v>187</v>
      </c>
      <c r="B104" s="13" t="s">
        <v>188</v>
      </c>
      <c r="C104" s="33">
        <v>950</v>
      </c>
    </row>
    <row r="105" spans="1:3" x14ac:dyDescent="0.25">
      <c r="A105" s="7" t="s">
        <v>187</v>
      </c>
      <c r="B105" s="14" t="s">
        <v>189</v>
      </c>
      <c r="C105" s="34">
        <v>1200</v>
      </c>
    </row>
    <row r="106" spans="1:3" x14ac:dyDescent="0.25">
      <c r="A106" s="7" t="s">
        <v>187</v>
      </c>
      <c r="B106" s="13" t="s">
        <v>190</v>
      </c>
      <c r="C106" s="33">
        <v>1300</v>
      </c>
    </row>
    <row r="107" spans="1:3" ht="18" x14ac:dyDescent="0.25">
      <c r="A107" s="25"/>
      <c r="B107" s="19" t="s">
        <v>191</v>
      </c>
      <c r="C107" s="10"/>
    </row>
    <row r="108" spans="1:3" x14ac:dyDescent="0.25">
      <c r="A108" s="7" t="s">
        <v>192</v>
      </c>
      <c r="B108" s="14" t="s">
        <v>193</v>
      </c>
      <c r="C108" s="34">
        <v>1050</v>
      </c>
    </row>
    <row r="109" spans="1:3" x14ac:dyDescent="0.25">
      <c r="A109" s="7" t="s">
        <v>194</v>
      </c>
      <c r="B109" s="13" t="s">
        <v>195</v>
      </c>
      <c r="C109" s="33">
        <v>1050</v>
      </c>
    </row>
    <row r="110" spans="1:3" x14ac:dyDescent="0.25">
      <c r="A110" s="7" t="s">
        <v>196</v>
      </c>
      <c r="B110" s="14" t="s">
        <v>197</v>
      </c>
      <c r="C110" s="34">
        <v>550</v>
      </c>
    </row>
    <row r="111" spans="1:3" x14ac:dyDescent="0.25">
      <c r="A111" s="7" t="s">
        <v>198</v>
      </c>
      <c r="B111" s="14" t="s">
        <v>199</v>
      </c>
      <c r="C111" s="34">
        <v>900</v>
      </c>
    </row>
    <row r="112" spans="1:3" x14ac:dyDescent="0.25">
      <c r="A112" s="7" t="s">
        <v>200</v>
      </c>
      <c r="B112" s="13" t="s">
        <v>201</v>
      </c>
      <c r="C112" s="33">
        <v>1050</v>
      </c>
    </row>
    <row r="113" spans="1:3" x14ac:dyDescent="0.25">
      <c r="A113" s="7" t="s">
        <v>202</v>
      </c>
      <c r="B113" s="14" t="s">
        <v>203</v>
      </c>
      <c r="C113" s="34">
        <v>300</v>
      </c>
    </row>
    <row r="114" spans="1:3" ht="18" x14ac:dyDescent="0.25">
      <c r="A114" s="25"/>
      <c r="B114" s="25" t="s">
        <v>204</v>
      </c>
      <c r="C114" s="11"/>
    </row>
    <row r="115" spans="1:3" x14ac:dyDescent="0.25">
      <c r="A115" s="7" t="s">
        <v>205</v>
      </c>
      <c r="B115" s="13" t="s">
        <v>206</v>
      </c>
      <c r="C115" s="33">
        <v>325</v>
      </c>
    </row>
    <row r="116" spans="1:3" x14ac:dyDescent="0.25">
      <c r="A116" s="7" t="s">
        <v>207</v>
      </c>
      <c r="B116" s="14" t="s">
        <v>208</v>
      </c>
      <c r="C116" s="34">
        <v>450</v>
      </c>
    </row>
    <row r="117" spans="1:3" x14ac:dyDescent="0.25">
      <c r="A117" s="7" t="s">
        <v>209</v>
      </c>
      <c r="B117" s="13" t="s">
        <v>210</v>
      </c>
      <c r="C117" s="33">
        <v>500</v>
      </c>
    </row>
    <row r="118" spans="1:3" x14ac:dyDescent="0.25">
      <c r="A118" s="7" t="s">
        <v>211</v>
      </c>
      <c r="B118" s="14" t="s">
        <v>212</v>
      </c>
      <c r="C118" s="34">
        <v>2550</v>
      </c>
    </row>
    <row r="119" spans="1:3" x14ac:dyDescent="0.25">
      <c r="A119" s="7" t="s">
        <v>213</v>
      </c>
      <c r="B119" s="13" t="s">
        <v>214</v>
      </c>
      <c r="C119" s="33">
        <v>2550</v>
      </c>
    </row>
    <row r="120" spans="1:3" x14ac:dyDescent="0.25">
      <c r="A120" s="7" t="s">
        <v>215</v>
      </c>
      <c r="B120" s="14" t="s">
        <v>216</v>
      </c>
      <c r="C120" s="34">
        <v>2400</v>
      </c>
    </row>
    <row r="121" spans="1:3" x14ac:dyDescent="0.25">
      <c r="A121" s="7" t="s">
        <v>217</v>
      </c>
      <c r="B121" s="13" t="s">
        <v>218</v>
      </c>
      <c r="C121" s="33">
        <v>300</v>
      </c>
    </row>
    <row r="122" spans="1:3" x14ac:dyDescent="0.25">
      <c r="A122" s="7" t="s">
        <v>219</v>
      </c>
      <c r="B122" s="14" t="s">
        <v>220</v>
      </c>
      <c r="C122" s="34">
        <v>250</v>
      </c>
    </row>
    <row r="123" spans="1:3" x14ac:dyDescent="0.25">
      <c r="A123" s="7" t="s">
        <v>221</v>
      </c>
      <c r="B123" s="13" t="s">
        <v>222</v>
      </c>
      <c r="C123" s="33">
        <v>320</v>
      </c>
    </row>
    <row r="124" spans="1:3" x14ac:dyDescent="0.25">
      <c r="A124" s="7" t="s">
        <v>211</v>
      </c>
      <c r="B124" s="14" t="s">
        <v>223</v>
      </c>
      <c r="C124" s="34">
        <v>1250</v>
      </c>
    </row>
    <row r="125" spans="1:3" x14ac:dyDescent="0.25">
      <c r="A125" s="7" t="s">
        <v>213</v>
      </c>
      <c r="B125" s="13" t="s">
        <v>223</v>
      </c>
      <c r="C125" s="33">
        <v>1250</v>
      </c>
    </row>
    <row r="126" spans="1:3" x14ac:dyDescent="0.25">
      <c r="A126" s="7" t="s">
        <v>224</v>
      </c>
      <c r="B126" s="14" t="s">
        <v>225</v>
      </c>
      <c r="C126" s="34">
        <v>80</v>
      </c>
    </row>
    <row r="127" spans="1:3" x14ac:dyDescent="0.25">
      <c r="A127" s="7" t="s">
        <v>226</v>
      </c>
      <c r="B127" s="13" t="s">
        <v>227</v>
      </c>
      <c r="C127" s="33">
        <v>80</v>
      </c>
    </row>
    <row r="128" spans="1:3" ht="18" x14ac:dyDescent="0.25">
      <c r="A128" s="25"/>
      <c r="B128" s="19" t="s">
        <v>228</v>
      </c>
      <c r="C128" s="10"/>
    </row>
    <row r="129" spans="1:3" x14ac:dyDescent="0.25">
      <c r="A129" s="7" t="s">
        <v>229</v>
      </c>
      <c r="B129" s="14" t="s">
        <v>230</v>
      </c>
      <c r="C129" s="34">
        <v>430</v>
      </c>
    </row>
    <row r="130" spans="1:3" x14ac:dyDescent="0.25">
      <c r="A130" s="7" t="s">
        <v>231</v>
      </c>
      <c r="B130" s="13" t="s">
        <v>232</v>
      </c>
      <c r="C130" s="33">
        <v>480</v>
      </c>
    </row>
    <row r="131" spans="1:3" x14ac:dyDescent="0.25">
      <c r="A131" s="7" t="s">
        <v>233</v>
      </c>
      <c r="B131" s="14" t="s">
        <v>234</v>
      </c>
      <c r="C131" s="34">
        <v>480</v>
      </c>
    </row>
    <row r="132" spans="1:3" x14ac:dyDescent="0.25">
      <c r="A132" s="7" t="s">
        <v>235</v>
      </c>
      <c r="B132" s="13" t="s">
        <v>236</v>
      </c>
      <c r="C132" s="33">
        <v>480</v>
      </c>
    </row>
    <row r="133" spans="1:3" x14ac:dyDescent="0.25">
      <c r="A133" s="7" t="s">
        <v>237</v>
      </c>
      <c r="B133" s="14" t="s">
        <v>238</v>
      </c>
      <c r="C133" s="34">
        <v>590</v>
      </c>
    </row>
    <row r="134" spans="1:3" x14ac:dyDescent="0.25">
      <c r="A134" s="7" t="s">
        <v>237</v>
      </c>
      <c r="B134" s="13" t="s">
        <v>239</v>
      </c>
      <c r="C134" s="33">
        <v>650</v>
      </c>
    </row>
    <row r="135" spans="1:3" x14ac:dyDescent="0.25">
      <c r="A135" s="7" t="s">
        <v>240</v>
      </c>
      <c r="B135" s="14" t="s">
        <v>241</v>
      </c>
      <c r="C135" s="34">
        <v>750</v>
      </c>
    </row>
    <row r="136" spans="1:3" x14ac:dyDescent="0.25">
      <c r="A136" s="7" t="s">
        <v>242</v>
      </c>
      <c r="B136" s="13" t="s">
        <v>243</v>
      </c>
      <c r="C136" s="33">
        <v>750</v>
      </c>
    </row>
    <row r="137" spans="1:3" x14ac:dyDescent="0.25">
      <c r="A137" s="7" t="s">
        <v>244</v>
      </c>
      <c r="B137" s="14" t="s">
        <v>245</v>
      </c>
      <c r="C137" s="34">
        <v>650</v>
      </c>
    </row>
    <row r="138" spans="1:3" x14ac:dyDescent="0.25">
      <c r="A138" s="7" t="s">
        <v>246</v>
      </c>
      <c r="B138" s="13" t="s">
        <v>247</v>
      </c>
      <c r="C138" s="33">
        <v>550</v>
      </c>
    </row>
    <row r="139" spans="1:3" x14ac:dyDescent="0.25">
      <c r="A139" s="7" t="s">
        <v>248</v>
      </c>
      <c r="B139" s="14" t="s">
        <v>249</v>
      </c>
      <c r="C139" s="34">
        <v>480</v>
      </c>
    </row>
    <row r="140" spans="1:3" x14ac:dyDescent="0.25">
      <c r="A140" s="7" t="s">
        <v>250</v>
      </c>
      <c r="B140" s="13" t="s">
        <v>251</v>
      </c>
      <c r="C140" s="33">
        <v>480</v>
      </c>
    </row>
    <row r="141" spans="1:3" x14ac:dyDescent="0.25">
      <c r="A141" s="7" t="s">
        <v>252</v>
      </c>
      <c r="B141" s="14" t="s">
        <v>253</v>
      </c>
      <c r="C141" s="34">
        <v>430</v>
      </c>
    </row>
    <row r="142" spans="1:3" x14ac:dyDescent="0.25">
      <c r="A142" s="7" t="s">
        <v>254</v>
      </c>
      <c r="B142" s="14" t="s">
        <v>255</v>
      </c>
      <c r="C142" s="34">
        <v>10</v>
      </c>
    </row>
    <row r="143" spans="1:3" x14ac:dyDescent="0.25">
      <c r="A143" s="7" t="s">
        <v>256</v>
      </c>
      <c r="B143" s="14" t="s">
        <v>257</v>
      </c>
      <c r="C143" s="34">
        <v>500</v>
      </c>
    </row>
    <row r="144" spans="1:3" ht="47.25" x14ac:dyDescent="0.25">
      <c r="A144" s="7" t="s">
        <v>595</v>
      </c>
      <c r="B144" s="14" t="s">
        <v>596</v>
      </c>
      <c r="C144" s="34">
        <v>1400</v>
      </c>
    </row>
    <row r="145" spans="1:3" ht="63" x14ac:dyDescent="0.25">
      <c r="A145" s="7" t="s">
        <v>597</v>
      </c>
      <c r="B145" s="14" t="s">
        <v>8310</v>
      </c>
      <c r="C145" s="34">
        <v>1700</v>
      </c>
    </row>
    <row r="146" spans="1:3" ht="63" x14ac:dyDescent="0.25">
      <c r="A146" s="7" t="s">
        <v>598</v>
      </c>
      <c r="B146" s="4" t="s">
        <v>599</v>
      </c>
      <c r="C146" s="34">
        <v>1700</v>
      </c>
    </row>
    <row r="147" spans="1:3" ht="18" x14ac:dyDescent="0.25">
      <c r="A147" s="46"/>
      <c r="B147" s="19" t="s">
        <v>258</v>
      </c>
      <c r="C147" s="40"/>
    </row>
    <row r="148" spans="1:3" x14ac:dyDescent="0.25">
      <c r="A148" s="7" t="s">
        <v>259</v>
      </c>
      <c r="B148" s="7" t="s">
        <v>260</v>
      </c>
      <c r="C148" s="30">
        <v>140</v>
      </c>
    </row>
    <row r="149" spans="1:3" x14ac:dyDescent="0.25">
      <c r="A149" s="7" t="s">
        <v>261</v>
      </c>
      <c r="B149" s="14" t="s">
        <v>262</v>
      </c>
      <c r="C149" s="30">
        <v>140</v>
      </c>
    </row>
    <row r="150" spans="1:3" x14ac:dyDescent="0.25">
      <c r="A150" s="7" t="s">
        <v>263</v>
      </c>
      <c r="B150" s="14" t="s">
        <v>264</v>
      </c>
      <c r="C150" s="30">
        <v>160</v>
      </c>
    </row>
    <row r="151" spans="1:3" ht="18" x14ac:dyDescent="0.25">
      <c r="A151" s="53"/>
      <c r="B151" s="53" t="s">
        <v>3</v>
      </c>
      <c r="C151" s="54"/>
    </row>
    <row r="152" spans="1:3" ht="47.25" x14ac:dyDescent="0.25">
      <c r="A152" s="2" t="s">
        <v>266</v>
      </c>
      <c r="B152" s="15" t="s">
        <v>267</v>
      </c>
      <c r="C152" s="32">
        <v>5200</v>
      </c>
    </row>
    <row r="153" spans="1:3" ht="47.25" x14ac:dyDescent="0.25">
      <c r="A153" s="2" t="s">
        <v>268</v>
      </c>
      <c r="B153" s="15" t="s">
        <v>269</v>
      </c>
      <c r="C153" s="32">
        <v>5200</v>
      </c>
    </row>
    <row r="154" spans="1:3" ht="63" x14ac:dyDescent="0.25">
      <c r="A154" s="2" t="s">
        <v>270</v>
      </c>
      <c r="B154" s="15" t="s">
        <v>271</v>
      </c>
      <c r="C154" s="32">
        <v>5450</v>
      </c>
    </row>
    <row r="155" spans="1:3" ht="63" x14ac:dyDescent="0.25">
      <c r="A155" s="2" t="s">
        <v>272</v>
      </c>
      <c r="B155" s="15" t="s">
        <v>273</v>
      </c>
      <c r="C155" s="32">
        <v>5450</v>
      </c>
    </row>
    <row r="156" spans="1:3" ht="47.25" x14ac:dyDescent="0.25">
      <c r="A156" s="2" t="s">
        <v>274</v>
      </c>
      <c r="B156" s="15" t="s">
        <v>275</v>
      </c>
      <c r="C156" s="32">
        <v>5200</v>
      </c>
    </row>
    <row r="157" spans="1:3" ht="47.25" x14ac:dyDescent="0.25">
      <c r="A157" s="2" t="s">
        <v>276</v>
      </c>
      <c r="B157" s="15" t="s">
        <v>277</v>
      </c>
      <c r="C157" s="32">
        <v>5200</v>
      </c>
    </row>
    <row r="158" spans="1:3" ht="63" x14ac:dyDescent="0.25">
      <c r="A158" s="2" t="s">
        <v>278</v>
      </c>
      <c r="B158" s="15" t="s">
        <v>279</v>
      </c>
      <c r="C158" s="32">
        <v>5450</v>
      </c>
    </row>
    <row r="159" spans="1:3" ht="63" x14ac:dyDescent="0.25">
      <c r="A159" s="2" t="s">
        <v>280</v>
      </c>
      <c r="B159" s="15" t="s">
        <v>281</v>
      </c>
      <c r="C159" s="32">
        <v>5450</v>
      </c>
    </row>
    <row r="160" spans="1:3" ht="47.25" x14ac:dyDescent="0.25">
      <c r="A160" s="2" t="s">
        <v>282</v>
      </c>
      <c r="B160" s="15" t="s">
        <v>283</v>
      </c>
      <c r="C160" s="32">
        <v>5600</v>
      </c>
    </row>
    <row r="161" spans="1:3" ht="47.25" x14ac:dyDescent="0.25">
      <c r="A161" s="2" t="s">
        <v>284</v>
      </c>
      <c r="B161" s="15" t="s">
        <v>285</v>
      </c>
      <c r="C161" s="32">
        <v>5600</v>
      </c>
    </row>
    <row r="162" spans="1:3" ht="63" x14ac:dyDescent="0.25">
      <c r="A162" s="2" t="s">
        <v>286</v>
      </c>
      <c r="B162" s="15" t="s">
        <v>287</v>
      </c>
      <c r="C162" s="32">
        <v>5800</v>
      </c>
    </row>
    <row r="163" spans="1:3" ht="63" x14ac:dyDescent="0.25">
      <c r="A163" s="2" t="s">
        <v>288</v>
      </c>
      <c r="B163" s="15" t="s">
        <v>289</v>
      </c>
      <c r="C163" s="32">
        <v>5800</v>
      </c>
    </row>
    <row r="164" spans="1:3" ht="47.25" x14ac:dyDescent="0.25">
      <c r="A164" s="2" t="s">
        <v>290</v>
      </c>
      <c r="B164" s="15" t="s">
        <v>291</v>
      </c>
      <c r="C164" s="32">
        <v>5200</v>
      </c>
    </row>
    <row r="165" spans="1:3" ht="47.25" x14ac:dyDescent="0.25">
      <c r="A165" s="2" t="s">
        <v>292</v>
      </c>
      <c r="B165" s="15" t="s">
        <v>293</v>
      </c>
      <c r="C165" s="32">
        <v>5200</v>
      </c>
    </row>
    <row r="166" spans="1:3" ht="63" x14ac:dyDescent="0.25">
      <c r="A166" s="2" t="s">
        <v>294</v>
      </c>
      <c r="B166" s="15" t="s">
        <v>295</v>
      </c>
      <c r="C166" s="32">
        <v>5450</v>
      </c>
    </row>
    <row r="167" spans="1:3" ht="63" x14ac:dyDescent="0.25">
      <c r="A167" s="2" t="s">
        <v>296</v>
      </c>
      <c r="B167" s="15" t="s">
        <v>297</v>
      </c>
      <c r="C167" s="32">
        <v>5450</v>
      </c>
    </row>
    <row r="168" spans="1:3" ht="18" x14ac:dyDescent="0.25">
      <c r="A168" s="47"/>
      <c r="B168" s="53" t="s">
        <v>44</v>
      </c>
      <c r="C168" s="54"/>
    </row>
    <row r="169" spans="1:3" ht="47.25" x14ac:dyDescent="0.25">
      <c r="A169" s="2" t="s">
        <v>298</v>
      </c>
      <c r="B169" s="15" t="s">
        <v>989</v>
      </c>
      <c r="C169" s="35">
        <v>5200</v>
      </c>
    </row>
    <row r="170" spans="1:3" ht="47.25" x14ac:dyDescent="0.25">
      <c r="A170" s="2" t="s">
        <v>299</v>
      </c>
      <c r="B170" s="15" t="s">
        <v>990</v>
      </c>
      <c r="C170" s="35">
        <v>5100</v>
      </c>
    </row>
    <row r="171" spans="1:3" ht="47.25" x14ac:dyDescent="0.25">
      <c r="A171" s="2" t="s">
        <v>300</v>
      </c>
      <c r="B171" s="15" t="s">
        <v>991</v>
      </c>
      <c r="C171" s="35">
        <v>5200</v>
      </c>
    </row>
    <row r="172" spans="1:3" ht="47.25" x14ac:dyDescent="0.25">
      <c r="A172" s="2" t="s">
        <v>301</v>
      </c>
      <c r="B172" s="15" t="s">
        <v>992</v>
      </c>
      <c r="C172" s="35">
        <v>5100</v>
      </c>
    </row>
    <row r="173" spans="1:3" ht="47.25" x14ac:dyDescent="0.25">
      <c r="A173" s="2" t="s">
        <v>302</v>
      </c>
      <c r="B173" s="15" t="s">
        <v>993</v>
      </c>
      <c r="C173" s="35">
        <v>5200</v>
      </c>
    </row>
    <row r="174" spans="1:3" ht="47.25" x14ac:dyDescent="0.25">
      <c r="A174" s="2" t="s">
        <v>303</v>
      </c>
      <c r="B174" s="15" t="s">
        <v>994</v>
      </c>
      <c r="C174" s="35">
        <v>5100</v>
      </c>
    </row>
    <row r="175" spans="1:3" ht="18" x14ac:dyDescent="0.25">
      <c r="A175" s="21"/>
      <c r="B175" s="53" t="s">
        <v>304</v>
      </c>
      <c r="C175" s="54"/>
    </row>
    <row r="176" spans="1:3" ht="78.75" x14ac:dyDescent="0.25">
      <c r="A176" s="2" t="s">
        <v>305</v>
      </c>
      <c r="B176" s="15" t="s">
        <v>306</v>
      </c>
      <c r="C176" s="32">
        <v>5200</v>
      </c>
    </row>
    <row r="177" spans="1:3" ht="63" x14ac:dyDescent="0.25">
      <c r="A177" s="2" t="s">
        <v>307</v>
      </c>
      <c r="B177" s="15" t="s">
        <v>308</v>
      </c>
      <c r="C177" s="32">
        <v>5200</v>
      </c>
    </row>
    <row r="178" spans="1:3" ht="78.75" x14ac:dyDescent="0.25">
      <c r="A178" s="2" t="s">
        <v>309</v>
      </c>
      <c r="B178" s="15" t="s">
        <v>310</v>
      </c>
      <c r="C178" s="32">
        <v>5200</v>
      </c>
    </row>
    <row r="179" spans="1:3" ht="18" x14ac:dyDescent="0.25">
      <c r="A179" s="47"/>
      <c r="B179" s="53" t="s">
        <v>311</v>
      </c>
      <c r="C179" s="54"/>
    </row>
    <row r="180" spans="1:3" ht="63" x14ac:dyDescent="0.25">
      <c r="A180" s="2" t="s">
        <v>312</v>
      </c>
      <c r="B180" s="15" t="s">
        <v>313</v>
      </c>
      <c r="C180" s="32">
        <v>4900</v>
      </c>
    </row>
    <row r="181" spans="1:3" ht="63" x14ac:dyDescent="0.25">
      <c r="A181" s="2" t="s">
        <v>314</v>
      </c>
      <c r="B181" s="15" t="s">
        <v>315</v>
      </c>
      <c r="C181" s="32">
        <v>4900</v>
      </c>
    </row>
    <row r="182" spans="1:3" ht="63" x14ac:dyDescent="0.25">
      <c r="A182" s="2" t="s">
        <v>316</v>
      </c>
      <c r="B182" s="15" t="s">
        <v>317</v>
      </c>
      <c r="C182" s="35">
        <v>4900</v>
      </c>
    </row>
    <row r="183" spans="1:3" ht="18" x14ac:dyDescent="0.25">
      <c r="A183" s="47"/>
      <c r="B183" s="53" t="s">
        <v>318</v>
      </c>
      <c r="C183" s="54"/>
    </row>
    <row r="184" spans="1:3" ht="78.75" x14ac:dyDescent="0.25">
      <c r="A184" s="2" t="s">
        <v>319</v>
      </c>
      <c r="B184" s="15" t="s">
        <v>320</v>
      </c>
      <c r="C184" s="32">
        <v>5100</v>
      </c>
    </row>
    <row r="185" spans="1:3" ht="63" x14ac:dyDescent="0.25">
      <c r="A185" s="2" t="s">
        <v>321</v>
      </c>
      <c r="B185" s="15" t="s">
        <v>322</v>
      </c>
      <c r="C185" s="32">
        <v>5100</v>
      </c>
    </row>
    <row r="186" spans="1:3" ht="78.75" x14ac:dyDescent="0.25">
      <c r="A186" s="2" t="s">
        <v>323</v>
      </c>
      <c r="B186" s="15" t="s">
        <v>324</v>
      </c>
      <c r="C186" s="32">
        <v>5100</v>
      </c>
    </row>
    <row r="187" spans="1:3" ht="18" x14ac:dyDescent="0.25">
      <c r="A187" s="47"/>
      <c r="B187" s="53" t="s">
        <v>325</v>
      </c>
      <c r="C187" s="54"/>
    </row>
    <row r="188" spans="1:3" ht="63" x14ac:dyDescent="0.25">
      <c r="A188" s="2" t="s">
        <v>326</v>
      </c>
      <c r="B188" s="15" t="s">
        <v>327</v>
      </c>
      <c r="C188" s="32">
        <v>3900</v>
      </c>
    </row>
    <row r="189" spans="1:3" ht="63" x14ac:dyDescent="0.25">
      <c r="A189" s="2" t="s">
        <v>328</v>
      </c>
      <c r="B189" s="15" t="s">
        <v>329</v>
      </c>
      <c r="C189" s="32">
        <v>3900</v>
      </c>
    </row>
    <row r="190" spans="1:3" ht="63" x14ac:dyDescent="0.25">
      <c r="A190" s="2" t="s">
        <v>330</v>
      </c>
      <c r="B190" s="15" t="s">
        <v>331</v>
      </c>
      <c r="C190" s="32">
        <v>3900</v>
      </c>
    </row>
    <row r="191" spans="1:3" ht="18" x14ac:dyDescent="0.25">
      <c r="A191" s="47"/>
      <c r="B191" s="53" t="s">
        <v>332</v>
      </c>
      <c r="C191" s="54"/>
    </row>
    <row r="192" spans="1:3" ht="63" x14ac:dyDescent="0.25">
      <c r="A192" s="2" t="s">
        <v>333</v>
      </c>
      <c r="B192" s="15" t="s">
        <v>334</v>
      </c>
      <c r="C192" s="32">
        <v>3900</v>
      </c>
    </row>
    <row r="193" spans="1:3" ht="63" x14ac:dyDescent="0.25">
      <c r="A193" s="2" t="s">
        <v>335</v>
      </c>
      <c r="B193" s="15" t="s">
        <v>336</v>
      </c>
      <c r="C193" s="32">
        <v>3900</v>
      </c>
    </row>
    <row r="194" spans="1:3" ht="63" x14ac:dyDescent="0.25">
      <c r="A194" s="2" t="s">
        <v>337</v>
      </c>
      <c r="B194" s="15" t="s">
        <v>338</v>
      </c>
      <c r="C194" s="32">
        <v>3900</v>
      </c>
    </row>
    <row r="195" spans="1:3" ht="18" x14ac:dyDescent="0.25">
      <c r="A195" s="51"/>
      <c r="B195" s="51" t="s">
        <v>339</v>
      </c>
      <c r="C195" s="48"/>
    </row>
    <row r="196" spans="1:3" ht="31.5" x14ac:dyDescent="0.25">
      <c r="A196" s="6" t="s">
        <v>340</v>
      </c>
      <c r="B196" s="16" t="s">
        <v>341</v>
      </c>
      <c r="C196" s="34">
        <v>2950</v>
      </c>
    </row>
    <row r="197" spans="1:3" ht="31.5" x14ac:dyDescent="0.25">
      <c r="A197" s="6" t="s">
        <v>342</v>
      </c>
      <c r="B197" s="16" t="s">
        <v>343</v>
      </c>
      <c r="C197" s="34">
        <v>3100</v>
      </c>
    </row>
    <row r="198" spans="1:3" ht="31.5" x14ac:dyDescent="0.25">
      <c r="A198" s="6" t="s">
        <v>344</v>
      </c>
      <c r="B198" s="16" t="s">
        <v>345</v>
      </c>
      <c r="C198" s="34">
        <v>3200</v>
      </c>
    </row>
    <row r="199" spans="1:3" ht="31.5" x14ac:dyDescent="0.25">
      <c r="A199" s="6" t="s">
        <v>346</v>
      </c>
      <c r="B199" s="16" t="s">
        <v>347</v>
      </c>
      <c r="C199" s="34">
        <v>1900</v>
      </c>
    </row>
    <row r="200" spans="1:3" ht="31.5" x14ac:dyDescent="0.25">
      <c r="A200" s="6" t="s">
        <v>348</v>
      </c>
      <c r="B200" s="16" t="s">
        <v>349</v>
      </c>
      <c r="C200" s="34">
        <v>2000</v>
      </c>
    </row>
    <row r="201" spans="1:3" ht="47.25" x14ac:dyDescent="0.25">
      <c r="A201" s="6" t="s">
        <v>350</v>
      </c>
      <c r="B201" s="16" t="s">
        <v>351</v>
      </c>
      <c r="C201" s="34">
        <v>2250</v>
      </c>
    </row>
    <row r="202" spans="1:3" ht="31.5" x14ac:dyDescent="0.25">
      <c r="A202" s="6" t="s">
        <v>352</v>
      </c>
      <c r="B202" s="17" t="s">
        <v>353</v>
      </c>
      <c r="C202" s="36">
        <v>2400</v>
      </c>
    </row>
    <row r="203" spans="1:3" ht="31.5" x14ac:dyDescent="0.25">
      <c r="A203" s="6" t="s">
        <v>354</v>
      </c>
      <c r="B203" s="17" t="s">
        <v>355</v>
      </c>
      <c r="C203" s="36">
        <v>2500</v>
      </c>
    </row>
    <row r="204" spans="1:3" ht="31.5" x14ac:dyDescent="0.25">
      <c r="A204" s="6" t="s">
        <v>356</v>
      </c>
      <c r="B204" s="16" t="s">
        <v>357</v>
      </c>
      <c r="C204" s="34">
        <v>1600</v>
      </c>
    </row>
    <row r="205" spans="1:3" ht="31.5" x14ac:dyDescent="0.25">
      <c r="A205" s="6" t="s">
        <v>358</v>
      </c>
      <c r="B205" s="17" t="s">
        <v>359</v>
      </c>
      <c r="C205" s="36">
        <v>950</v>
      </c>
    </row>
    <row r="206" spans="1:3" ht="18" x14ac:dyDescent="0.25">
      <c r="A206" s="51"/>
      <c r="B206" s="51" t="s">
        <v>360</v>
      </c>
      <c r="C206" s="48"/>
    </row>
    <row r="207" spans="1:3" ht="47.25" x14ac:dyDescent="0.25">
      <c r="A207" s="6" t="s">
        <v>361</v>
      </c>
      <c r="B207" s="17" t="s">
        <v>362</v>
      </c>
      <c r="C207" s="36">
        <v>1300</v>
      </c>
    </row>
    <row r="208" spans="1:3" ht="47.25" x14ac:dyDescent="0.25">
      <c r="A208" s="6" t="s">
        <v>363</v>
      </c>
      <c r="B208" s="17" t="s">
        <v>364</v>
      </c>
      <c r="C208" s="36">
        <v>1000</v>
      </c>
    </row>
    <row r="209" spans="1:3" ht="36" x14ac:dyDescent="0.25">
      <c r="A209" s="52"/>
      <c r="B209" s="51" t="s">
        <v>365</v>
      </c>
      <c r="C209" s="48"/>
    </row>
    <row r="210" spans="1:3" ht="31.5" x14ac:dyDescent="0.25">
      <c r="A210" s="6" t="s">
        <v>366</v>
      </c>
      <c r="B210" s="16" t="s">
        <v>367</v>
      </c>
      <c r="C210" s="34">
        <v>1900</v>
      </c>
    </row>
    <row r="211" spans="1:3" x14ac:dyDescent="0.25">
      <c r="A211" s="6" t="s">
        <v>368</v>
      </c>
      <c r="B211" s="16" t="s">
        <v>369</v>
      </c>
      <c r="C211" s="34">
        <v>2100</v>
      </c>
    </row>
    <row r="212" spans="1:3" ht="31.5" x14ac:dyDescent="0.25">
      <c r="A212" s="6" t="s">
        <v>370</v>
      </c>
      <c r="B212" s="16" t="s">
        <v>371</v>
      </c>
      <c r="C212" s="34">
        <v>2200</v>
      </c>
    </row>
    <row r="213" spans="1:3" ht="31.5" x14ac:dyDescent="0.25">
      <c r="A213" s="6" t="s">
        <v>372</v>
      </c>
      <c r="B213" s="16" t="s">
        <v>373</v>
      </c>
      <c r="C213" s="34">
        <v>2100</v>
      </c>
    </row>
    <row r="214" spans="1:3" ht="31.5" x14ac:dyDescent="0.25">
      <c r="A214" s="6" t="s">
        <v>374</v>
      </c>
      <c r="B214" s="16" t="s">
        <v>375</v>
      </c>
      <c r="C214" s="34">
        <v>2250</v>
      </c>
    </row>
    <row r="215" spans="1:3" ht="31.5" x14ac:dyDescent="0.25">
      <c r="A215" s="6" t="s">
        <v>376</v>
      </c>
      <c r="B215" s="16" t="s">
        <v>377</v>
      </c>
      <c r="C215" s="34">
        <v>2100</v>
      </c>
    </row>
    <row r="216" spans="1:3" ht="31.5" x14ac:dyDescent="0.25">
      <c r="A216" s="6" t="s">
        <v>378</v>
      </c>
      <c r="B216" s="16" t="s">
        <v>379</v>
      </c>
      <c r="C216" s="34">
        <v>2250</v>
      </c>
    </row>
    <row r="217" spans="1:3" ht="31.5" x14ac:dyDescent="0.25">
      <c r="A217" s="6" t="s">
        <v>380</v>
      </c>
      <c r="B217" s="16" t="s">
        <v>381</v>
      </c>
      <c r="C217" s="34">
        <v>1750</v>
      </c>
    </row>
    <row r="218" spans="1:3" ht="31.5" x14ac:dyDescent="0.25">
      <c r="A218" s="6" t="s">
        <v>382</v>
      </c>
      <c r="B218" s="16" t="s">
        <v>383</v>
      </c>
      <c r="C218" s="34">
        <v>1750</v>
      </c>
    </row>
    <row r="219" spans="1:3" ht="47.25" x14ac:dyDescent="0.25">
      <c r="A219" s="6" t="s">
        <v>384</v>
      </c>
      <c r="B219" s="16" t="s">
        <v>15560</v>
      </c>
      <c r="C219" s="34">
        <v>2400</v>
      </c>
    </row>
    <row r="220" spans="1:3" ht="47.25" x14ac:dyDescent="0.25">
      <c r="A220" s="6" t="s">
        <v>385</v>
      </c>
      <c r="B220" s="16" t="s">
        <v>15561</v>
      </c>
      <c r="C220" s="34">
        <v>2500</v>
      </c>
    </row>
    <row r="221" spans="1:3" ht="47.25" x14ac:dyDescent="0.25">
      <c r="A221" s="6" t="s">
        <v>386</v>
      </c>
      <c r="B221" s="16" t="s">
        <v>15562</v>
      </c>
      <c r="C221" s="34">
        <v>2600</v>
      </c>
    </row>
    <row r="222" spans="1:3" ht="47.25" x14ac:dyDescent="0.25">
      <c r="A222" s="6" t="s">
        <v>387</v>
      </c>
      <c r="B222" s="16" t="s">
        <v>15563</v>
      </c>
      <c r="C222" s="34">
        <v>2500</v>
      </c>
    </row>
    <row r="223" spans="1:3" ht="18" x14ac:dyDescent="0.25">
      <c r="A223" s="51"/>
      <c r="B223" s="51" t="s">
        <v>388</v>
      </c>
      <c r="C223" s="48"/>
    </row>
    <row r="224" spans="1:3" ht="31.5" x14ac:dyDescent="0.25">
      <c r="A224" s="6" t="s">
        <v>389</v>
      </c>
      <c r="B224" s="18" t="s">
        <v>390</v>
      </c>
      <c r="C224" s="34">
        <v>1500</v>
      </c>
    </row>
    <row r="225" spans="1:3" ht="31.5" x14ac:dyDescent="0.25">
      <c r="A225" s="6" t="s">
        <v>391</v>
      </c>
      <c r="B225" s="18" t="s">
        <v>392</v>
      </c>
      <c r="C225" s="34">
        <v>1650</v>
      </c>
    </row>
    <row r="226" spans="1:3" ht="31.5" x14ac:dyDescent="0.25">
      <c r="A226" s="6" t="s">
        <v>393</v>
      </c>
      <c r="B226" s="18" t="s">
        <v>394</v>
      </c>
      <c r="C226" s="34">
        <v>1650</v>
      </c>
    </row>
    <row r="227" spans="1:3" ht="31.5" x14ac:dyDescent="0.25">
      <c r="A227" s="6" t="s">
        <v>395</v>
      </c>
      <c r="B227" s="18" t="s">
        <v>396</v>
      </c>
      <c r="C227" s="34">
        <v>1950</v>
      </c>
    </row>
    <row r="228" spans="1:3" ht="31.5" x14ac:dyDescent="0.25">
      <c r="A228" s="6" t="s">
        <v>397</v>
      </c>
      <c r="B228" s="18" t="s">
        <v>398</v>
      </c>
      <c r="C228" s="34">
        <v>2000</v>
      </c>
    </row>
    <row r="229" spans="1:3" ht="31.5" x14ac:dyDescent="0.25">
      <c r="A229" s="6" t="s">
        <v>399</v>
      </c>
      <c r="B229" s="18" t="s">
        <v>400</v>
      </c>
      <c r="C229" s="34">
        <v>2025</v>
      </c>
    </row>
    <row r="230" spans="1:3" ht="31.5" x14ac:dyDescent="0.25">
      <c r="A230" s="6" t="s">
        <v>401</v>
      </c>
      <c r="B230" s="18" t="s">
        <v>402</v>
      </c>
      <c r="C230" s="34">
        <v>1550</v>
      </c>
    </row>
    <row r="231" spans="1:3" ht="31.5" x14ac:dyDescent="0.25">
      <c r="A231" s="6" t="s">
        <v>403</v>
      </c>
      <c r="B231" s="16" t="s">
        <v>404</v>
      </c>
      <c r="C231" s="34">
        <v>1600</v>
      </c>
    </row>
    <row r="232" spans="1:3" ht="31.5" x14ac:dyDescent="0.25">
      <c r="A232" s="6" t="s">
        <v>405</v>
      </c>
      <c r="B232" s="16" t="s">
        <v>406</v>
      </c>
      <c r="C232" s="34">
        <v>1100</v>
      </c>
    </row>
    <row r="233" spans="1:3" ht="31.5" x14ac:dyDescent="0.25">
      <c r="A233" s="6" t="s">
        <v>407</v>
      </c>
      <c r="B233" s="16" t="s">
        <v>408</v>
      </c>
      <c r="C233" s="34">
        <v>1100</v>
      </c>
    </row>
    <row r="234" spans="1:3" ht="31.5" x14ac:dyDescent="0.25">
      <c r="A234" s="6" t="s">
        <v>409</v>
      </c>
      <c r="B234" s="16" t="s">
        <v>410</v>
      </c>
      <c r="C234" s="34">
        <v>1100</v>
      </c>
    </row>
    <row r="235" spans="1:3" ht="31.5" x14ac:dyDescent="0.25">
      <c r="A235" s="6" t="s">
        <v>411</v>
      </c>
      <c r="B235" s="16" t="s">
        <v>412</v>
      </c>
      <c r="C235" s="34">
        <v>1150</v>
      </c>
    </row>
    <row r="236" spans="1:3" ht="47.25" x14ac:dyDescent="0.25">
      <c r="A236" s="6" t="s">
        <v>413</v>
      </c>
      <c r="B236" s="16" t="s">
        <v>414</v>
      </c>
      <c r="C236" s="34">
        <v>875</v>
      </c>
    </row>
    <row r="237" spans="1:3" ht="47.25" x14ac:dyDescent="0.25">
      <c r="A237" s="6" t="s">
        <v>415</v>
      </c>
      <c r="B237" s="16" t="s">
        <v>416</v>
      </c>
      <c r="C237" s="34">
        <v>400</v>
      </c>
    </row>
    <row r="238" spans="1:3" ht="47.25" x14ac:dyDescent="0.25">
      <c r="A238" s="6" t="s">
        <v>417</v>
      </c>
      <c r="B238" s="16" t="s">
        <v>418</v>
      </c>
      <c r="C238" s="34">
        <v>450</v>
      </c>
    </row>
    <row r="239" spans="1:3" ht="31.5" x14ac:dyDescent="0.25">
      <c r="A239" s="6" t="s">
        <v>419</v>
      </c>
      <c r="B239" s="16" t="s">
        <v>420</v>
      </c>
      <c r="C239" s="34">
        <v>600</v>
      </c>
    </row>
    <row r="240" spans="1:3" ht="47.25" x14ac:dyDescent="0.25">
      <c r="A240" s="6" t="s">
        <v>421</v>
      </c>
      <c r="B240" s="16" t="s">
        <v>422</v>
      </c>
      <c r="C240" s="34">
        <v>250</v>
      </c>
    </row>
    <row r="241" spans="1:3" ht="31.5" x14ac:dyDescent="0.25">
      <c r="A241" s="6" t="s">
        <v>423</v>
      </c>
      <c r="B241" s="16" t="s">
        <v>424</v>
      </c>
      <c r="C241" s="34">
        <v>250</v>
      </c>
    </row>
    <row r="242" spans="1:3" ht="31.5" x14ac:dyDescent="0.25">
      <c r="A242" s="6" t="s">
        <v>425</v>
      </c>
      <c r="B242" s="16" t="s">
        <v>426</v>
      </c>
      <c r="C242" s="34">
        <v>350</v>
      </c>
    </row>
    <row r="243" spans="1:3" ht="31.5" x14ac:dyDescent="0.25">
      <c r="A243" s="6" t="s">
        <v>427</v>
      </c>
      <c r="B243" s="16" t="s">
        <v>428</v>
      </c>
      <c r="C243" s="34">
        <v>250</v>
      </c>
    </row>
    <row r="244" spans="1:3" ht="31.5" x14ac:dyDescent="0.25">
      <c r="A244" s="6" t="s">
        <v>429</v>
      </c>
      <c r="B244" s="16" t="s">
        <v>430</v>
      </c>
      <c r="C244" s="34">
        <v>250</v>
      </c>
    </row>
    <row r="245" spans="1:3" ht="31.5" x14ac:dyDescent="0.25">
      <c r="A245" s="6" t="s">
        <v>431</v>
      </c>
      <c r="B245" s="16" t="s">
        <v>432</v>
      </c>
      <c r="C245" s="34">
        <v>350</v>
      </c>
    </row>
    <row r="246" spans="1:3" x14ac:dyDescent="0.25">
      <c r="A246" s="6">
        <v>650003</v>
      </c>
      <c r="B246" s="16" t="s">
        <v>433</v>
      </c>
      <c r="C246" s="34">
        <v>750</v>
      </c>
    </row>
    <row r="247" spans="1:3" x14ac:dyDescent="0.25">
      <c r="A247" s="6" t="s">
        <v>434</v>
      </c>
      <c r="B247" s="16" t="s">
        <v>435</v>
      </c>
      <c r="C247" s="34">
        <v>750</v>
      </c>
    </row>
    <row r="248" spans="1:3" ht="31.5" x14ac:dyDescent="0.25">
      <c r="A248" s="6" t="s">
        <v>436</v>
      </c>
      <c r="B248" s="16" t="s">
        <v>437</v>
      </c>
      <c r="C248" s="34">
        <v>400</v>
      </c>
    </row>
    <row r="249" spans="1:3" x14ac:dyDescent="0.25">
      <c r="A249" s="6">
        <v>750501</v>
      </c>
      <c r="B249" s="16" t="s">
        <v>438</v>
      </c>
      <c r="C249" s="34">
        <v>350</v>
      </c>
    </row>
    <row r="250" spans="1:3" ht="18" x14ac:dyDescent="0.25">
      <c r="A250" s="51"/>
      <c r="B250" s="51" t="s">
        <v>439</v>
      </c>
      <c r="C250" s="48"/>
    </row>
    <row r="251" spans="1:3" ht="31.5" x14ac:dyDescent="0.25">
      <c r="A251" s="6" t="s">
        <v>440</v>
      </c>
      <c r="B251" s="16" t="s">
        <v>441</v>
      </c>
      <c r="C251" s="34">
        <v>375</v>
      </c>
    </row>
    <row r="252" spans="1:3" ht="31.5" x14ac:dyDescent="0.25">
      <c r="A252" s="6" t="s">
        <v>442</v>
      </c>
      <c r="B252" s="16" t="s">
        <v>443</v>
      </c>
      <c r="C252" s="34">
        <v>400</v>
      </c>
    </row>
    <row r="253" spans="1:3" ht="31.5" x14ac:dyDescent="0.25">
      <c r="A253" s="6" t="s">
        <v>444</v>
      </c>
      <c r="B253" s="16" t="s">
        <v>445</v>
      </c>
      <c r="C253" s="34">
        <v>425</v>
      </c>
    </row>
    <row r="254" spans="1:3" ht="31.5" x14ac:dyDescent="0.25">
      <c r="A254" s="6" t="s">
        <v>446</v>
      </c>
      <c r="B254" s="16" t="s">
        <v>447</v>
      </c>
      <c r="C254" s="34">
        <v>450</v>
      </c>
    </row>
    <row r="255" spans="1:3" ht="31.5" x14ac:dyDescent="0.25">
      <c r="A255" s="6" t="s">
        <v>448</v>
      </c>
      <c r="B255" s="16" t="s">
        <v>449</v>
      </c>
      <c r="C255" s="34">
        <v>500</v>
      </c>
    </row>
    <row r="256" spans="1:3" ht="31.5" x14ac:dyDescent="0.25">
      <c r="A256" s="6" t="s">
        <v>450</v>
      </c>
      <c r="B256" s="16" t="s">
        <v>451</v>
      </c>
      <c r="C256" s="34">
        <v>550</v>
      </c>
    </row>
    <row r="257" spans="1:3" ht="31.5" x14ac:dyDescent="0.25">
      <c r="A257" s="6" t="s">
        <v>452</v>
      </c>
      <c r="B257" s="16" t="s">
        <v>453</v>
      </c>
      <c r="C257" s="34">
        <v>600</v>
      </c>
    </row>
    <row r="258" spans="1:3" ht="31.5" x14ac:dyDescent="0.25">
      <c r="A258" s="6" t="s">
        <v>454</v>
      </c>
      <c r="B258" s="16" t="s">
        <v>455</v>
      </c>
      <c r="C258" s="34">
        <v>550</v>
      </c>
    </row>
    <row r="259" spans="1:3" ht="31.5" x14ac:dyDescent="0.25">
      <c r="A259" s="6" t="s">
        <v>456</v>
      </c>
      <c r="B259" s="16" t="s">
        <v>457</v>
      </c>
      <c r="C259" s="34">
        <v>650</v>
      </c>
    </row>
    <row r="260" spans="1:3" ht="31.5" x14ac:dyDescent="0.25">
      <c r="A260" s="6" t="s">
        <v>458</v>
      </c>
      <c r="B260" s="16" t="s">
        <v>459</v>
      </c>
      <c r="C260" s="34">
        <v>650</v>
      </c>
    </row>
    <row r="261" spans="1:3" ht="31.5" x14ac:dyDescent="0.25">
      <c r="A261" s="6" t="s">
        <v>460</v>
      </c>
      <c r="B261" s="16" t="s">
        <v>461</v>
      </c>
      <c r="C261" s="34">
        <v>650</v>
      </c>
    </row>
    <row r="262" spans="1:3" ht="31.5" x14ac:dyDescent="0.25">
      <c r="A262" s="6" t="s">
        <v>462</v>
      </c>
      <c r="B262" s="16" t="s">
        <v>463</v>
      </c>
      <c r="C262" s="34">
        <v>650</v>
      </c>
    </row>
    <row r="263" spans="1:3" ht="31.5" x14ac:dyDescent="0.25">
      <c r="A263" s="6" t="s">
        <v>464</v>
      </c>
      <c r="B263" s="16" t="s">
        <v>465</v>
      </c>
      <c r="C263" s="34">
        <v>500</v>
      </c>
    </row>
    <row r="264" spans="1:3" ht="31.5" x14ac:dyDescent="0.25">
      <c r="A264" s="6" t="s">
        <v>466</v>
      </c>
      <c r="B264" s="16" t="s">
        <v>467</v>
      </c>
      <c r="C264" s="34">
        <v>525</v>
      </c>
    </row>
    <row r="265" spans="1:3" ht="47.25" x14ac:dyDescent="0.25">
      <c r="A265" s="6" t="s">
        <v>468</v>
      </c>
      <c r="B265" s="16" t="s">
        <v>15564</v>
      </c>
      <c r="C265" s="34">
        <v>525</v>
      </c>
    </row>
    <row r="266" spans="1:3" x14ac:dyDescent="0.25">
      <c r="A266" s="6" t="s">
        <v>469</v>
      </c>
      <c r="B266" s="16" t="s">
        <v>470</v>
      </c>
      <c r="C266" s="34">
        <v>425</v>
      </c>
    </row>
    <row r="267" spans="1:3" ht="31.5" x14ac:dyDescent="0.25">
      <c r="A267" s="6" t="s">
        <v>471</v>
      </c>
      <c r="B267" s="16" t="s">
        <v>472</v>
      </c>
      <c r="C267" s="34">
        <v>450</v>
      </c>
    </row>
    <row r="268" spans="1:3" ht="31.5" x14ac:dyDescent="0.25">
      <c r="A268" s="6" t="s">
        <v>473</v>
      </c>
      <c r="B268" s="16" t="s">
        <v>474</v>
      </c>
      <c r="C268" s="34">
        <v>450</v>
      </c>
    </row>
    <row r="269" spans="1:3" ht="31.5" x14ac:dyDescent="0.25">
      <c r="A269" s="6" t="s">
        <v>475</v>
      </c>
      <c r="B269" s="16" t="s">
        <v>476</v>
      </c>
      <c r="C269" s="34">
        <v>450</v>
      </c>
    </row>
    <row r="270" spans="1:3" ht="31.5" x14ac:dyDescent="0.25">
      <c r="A270" s="6" t="s">
        <v>477</v>
      </c>
      <c r="B270" s="16" t="s">
        <v>478</v>
      </c>
      <c r="C270" s="34">
        <v>475</v>
      </c>
    </row>
    <row r="271" spans="1:3" ht="47.25" x14ac:dyDescent="0.25">
      <c r="A271" s="6" t="s">
        <v>479</v>
      </c>
      <c r="B271" s="16" t="s">
        <v>480</v>
      </c>
      <c r="C271" s="34">
        <v>2100</v>
      </c>
    </row>
    <row r="272" spans="1:3" ht="18" x14ac:dyDescent="0.25">
      <c r="A272" s="51"/>
      <c r="B272" s="51" t="s">
        <v>481</v>
      </c>
      <c r="C272" s="48"/>
    </row>
    <row r="273" spans="1:3" ht="31.5" x14ac:dyDescent="0.25">
      <c r="A273" s="6" t="s">
        <v>482</v>
      </c>
      <c r="B273" s="16" t="s">
        <v>483</v>
      </c>
      <c r="C273" s="34">
        <v>1400</v>
      </c>
    </row>
    <row r="274" spans="1:3" ht="31.5" x14ac:dyDescent="0.25">
      <c r="A274" s="6" t="s">
        <v>484</v>
      </c>
      <c r="B274" s="16" t="s">
        <v>485</v>
      </c>
      <c r="C274" s="34">
        <v>1300</v>
      </c>
    </row>
    <row r="275" spans="1:3" ht="31.5" x14ac:dyDescent="0.25">
      <c r="A275" s="6" t="s">
        <v>486</v>
      </c>
      <c r="B275" s="16" t="s">
        <v>15565</v>
      </c>
      <c r="C275" s="34">
        <v>1450</v>
      </c>
    </row>
    <row r="276" spans="1:3" ht="31.5" x14ac:dyDescent="0.25">
      <c r="A276" s="6" t="s">
        <v>487</v>
      </c>
      <c r="B276" s="16" t="s">
        <v>15566</v>
      </c>
      <c r="C276" s="34">
        <v>1350</v>
      </c>
    </row>
    <row r="277" spans="1:3" ht="31.5" x14ac:dyDescent="0.25">
      <c r="A277" s="6" t="s">
        <v>488</v>
      </c>
      <c r="B277" s="16" t="s">
        <v>489</v>
      </c>
      <c r="C277" s="34">
        <v>950</v>
      </c>
    </row>
    <row r="278" spans="1:3" ht="31.5" x14ac:dyDescent="0.25">
      <c r="A278" s="6" t="s">
        <v>490</v>
      </c>
      <c r="B278" s="16" t="s">
        <v>491</v>
      </c>
      <c r="C278" s="34">
        <v>1100</v>
      </c>
    </row>
    <row r="279" spans="1:3" ht="31.5" x14ac:dyDescent="0.25">
      <c r="A279" s="6" t="s">
        <v>492</v>
      </c>
      <c r="B279" s="16" t="s">
        <v>493</v>
      </c>
      <c r="C279" s="34">
        <v>800</v>
      </c>
    </row>
    <row r="280" spans="1:3" ht="18" x14ac:dyDescent="0.25">
      <c r="A280" s="51"/>
      <c r="B280" s="51" t="s">
        <v>15584</v>
      </c>
      <c r="C280" s="48"/>
    </row>
    <row r="281" spans="1:3" ht="31.5" x14ac:dyDescent="0.25">
      <c r="A281" s="6" t="s">
        <v>494</v>
      </c>
      <c r="B281" s="16" t="s">
        <v>495</v>
      </c>
      <c r="C281" s="34">
        <v>400</v>
      </c>
    </row>
    <row r="282" spans="1:3" ht="31.5" x14ac:dyDescent="0.25">
      <c r="A282" s="6" t="s">
        <v>496</v>
      </c>
      <c r="B282" s="16" t="s">
        <v>497</v>
      </c>
      <c r="C282" s="34">
        <v>700</v>
      </c>
    </row>
    <row r="283" spans="1:3" ht="18" x14ac:dyDescent="0.25">
      <c r="A283" s="51"/>
      <c r="B283" s="51" t="s">
        <v>498</v>
      </c>
      <c r="C283" s="48"/>
    </row>
    <row r="284" spans="1:3" ht="47.25" x14ac:dyDescent="0.25">
      <c r="A284" s="6" t="s">
        <v>499</v>
      </c>
      <c r="B284" s="16" t="s">
        <v>500</v>
      </c>
      <c r="C284" s="32">
        <v>1100</v>
      </c>
    </row>
    <row r="285" spans="1:3" ht="47.25" x14ac:dyDescent="0.25">
      <c r="A285" s="6" t="s">
        <v>501</v>
      </c>
      <c r="B285" s="16" t="s">
        <v>502</v>
      </c>
      <c r="C285" s="32">
        <v>1200</v>
      </c>
    </row>
    <row r="286" spans="1:3" ht="47.25" x14ac:dyDescent="0.25">
      <c r="A286" s="6" t="s">
        <v>503</v>
      </c>
      <c r="B286" s="16" t="s">
        <v>504</v>
      </c>
      <c r="C286" s="32">
        <v>1200</v>
      </c>
    </row>
    <row r="287" spans="1:3" ht="47.25" x14ac:dyDescent="0.25">
      <c r="A287" s="6" t="s">
        <v>505</v>
      </c>
      <c r="B287" s="16" t="s">
        <v>506</v>
      </c>
      <c r="C287" s="32">
        <v>1200</v>
      </c>
    </row>
    <row r="288" spans="1:3" ht="31.5" x14ac:dyDescent="0.25">
      <c r="A288" s="6" t="s">
        <v>507</v>
      </c>
      <c r="B288" s="16" t="s">
        <v>508</v>
      </c>
      <c r="C288" s="34">
        <v>100</v>
      </c>
    </row>
    <row r="289" spans="1:3" x14ac:dyDescent="0.25">
      <c r="A289" s="6" t="s">
        <v>509</v>
      </c>
      <c r="B289" s="16" t="s">
        <v>510</v>
      </c>
      <c r="C289" s="34">
        <v>75</v>
      </c>
    </row>
    <row r="290" spans="1:3" ht="31.5" x14ac:dyDescent="0.25">
      <c r="A290" s="6" t="s">
        <v>511</v>
      </c>
      <c r="B290" s="16" t="s">
        <v>512</v>
      </c>
      <c r="C290" s="34">
        <v>75</v>
      </c>
    </row>
    <row r="291" spans="1:3" ht="18" x14ac:dyDescent="0.25">
      <c r="A291" s="51"/>
      <c r="B291" s="51" t="s">
        <v>513</v>
      </c>
      <c r="C291" s="48"/>
    </row>
    <row r="292" spans="1:3" ht="47.25" x14ac:dyDescent="0.25">
      <c r="A292" s="6" t="s">
        <v>514</v>
      </c>
      <c r="B292" s="16" t="s">
        <v>515</v>
      </c>
      <c r="C292" s="34">
        <v>2400</v>
      </c>
    </row>
    <row r="293" spans="1:3" x14ac:dyDescent="0.25">
      <c r="A293" s="6" t="s">
        <v>516</v>
      </c>
      <c r="B293" s="16" t="s">
        <v>517</v>
      </c>
      <c r="C293" s="34">
        <v>200</v>
      </c>
    </row>
    <row r="294" spans="1:3" x14ac:dyDescent="0.25">
      <c r="A294" s="6" t="s">
        <v>518</v>
      </c>
      <c r="B294" s="16" t="s">
        <v>519</v>
      </c>
      <c r="C294" s="34">
        <v>200</v>
      </c>
    </row>
    <row r="295" spans="1:3" x14ac:dyDescent="0.25">
      <c r="A295" s="6" t="s">
        <v>520</v>
      </c>
      <c r="B295" s="16" t="s">
        <v>521</v>
      </c>
      <c r="C295" s="34">
        <v>200</v>
      </c>
    </row>
    <row r="296" spans="1:3" x14ac:dyDescent="0.25">
      <c r="A296" s="6" t="s">
        <v>522</v>
      </c>
      <c r="B296" s="16" t="s">
        <v>523</v>
      </c>
      <c r="C296" s="34">
        <v>175</v>
      </c>
    </row>
    <row r="297" spans="1:3" x14ac:dyDescent="0.25">
      <c r="A297" s="6" t="s">
        <v>524</v>
      </c>
      <c r="B297" s="16" t="s">
        <v>525</v>
      </c>
      <c r="C297" s="34">
        <v>175</v>
      </c>
    </row>
    <row r="298" spans="1:3" x14ac:dyDescent="0.25">
      <c r="A298" s="6" t="s">
        <v>526</v>
      </c>
      <c r="B298" s="16" t="s">
        <v>527</v>
      </c>
      <c r="C298" s="34">
        <v>2100</v>
      </c>
    </row>
    <row r="299" spans="1:3" x14ac:dyDescent="0.25">
      <c r="A299" s="6" t="s">
        <v>528</v>
      </c>
      <c r="B299" s="16" t="s">
        <v>529</v>
      </c>
      <c r="C299" s="34">
        <v>2100</v>
      </c>
    </row>
    <row r="300" spans="1:3" x14ac:dyDescent="0.25">
      <c r="A300" s="6" t="s">
        <v>530</v>
      </c>
      <c r="B300" s="17" t="s">
        <v>531</v>
      </c>
      <c r="C300" s="36">
        <v>200</v>
      </c>
    </row>
    <row r="301" spans="1:3" ht="31.5" x14ac:dyDescent="0.25">
      <c r="A301" s="6" t="s">
        <v>532</v>
      </c>
      <c r="B301" s="17" t="s">
        <v>533</v>
      </c>
      <c r="C301" s="36">
        <v>300</v>
      </c>
    </row>
    <row r="302" spans="1:3" ht="31.5" x14ac:dyDescent="0.25">
      <c r="A302" s="6" t="s">
        <v>534</v>
      </c>
      <c r="B302" s="17" t="s">
        <v>535</v>
      </c>
      <c r="C302" s="36">
        <v>350</v>
      </c>
    </row>
    <row r="303" spans="1:3" x14ac:dyDescent="0.25">
      <c r="A303" s="6" t="s">
        <v>536</v>
      </c>
      <c r="B303" s="16" t="s">
        <v>537</v>
      </c>
      <c r="C303" s="34">
        <v>200</v>
      </c>
    </row>
    <row r="304" spans="1:3" x14ac:dyDescent="0.25">
      <c r="A304" s="6" t="s">
        <v>538</v>
      </c>
      <c r="B304" s="16" t="s">
        <v>539</v>
      </c>
      <c r="C304" s="34">
        <v>225</v>
      </c>
    </row>
    <row r="305" spans="1:3" ht="31.5" x14ac:dyDescent="0.25">
      <c r="A305" s="6" t="s">
        <v>540</v>
      </c>
      <c r="B305" s="16" t="s">
        <v>541</v>
      </c>
      <c r="C305" s="34">
        <v>1750</v>
      </c>
    </row>
    <row r="306" spans="1:3" ht="18" x14ac:dyDescent="0.25">
      <c r="A306" s="19"/>
      <c r="B306" s="19" t="s">
        <v>15567</v>
      </c>
      <c r="C306" s="10"/>
    </row>
    <row r="307" spans="1:3" ht="16.5" x14ac:dyDescent="0.25">
      <c r="A307" s="7" t="s">
        <v>542</v>
      </c>
      <c r="B307" s="7" t="s">
        <v>543</v>
      </c>
      <c r="C307" s="37">
        <v>2850</v>
      </c>
    </row>
    <row r="308" spans="1:3" ht="16.5" x14ac:dyDescent="0.25">
      <c r="A308" s="7" t="s">
        <v>544</v>
      </c>
      <c r="B308" s="7" t="s">
        <v>545</v>
      </c>
      <c r="C308" s="37">
        <v>2750</v>
      </c>
    </row>
    <row r="309" spans="1:3" ht="31.5" x14ac:dyDescent="0.25">
      <c r="A309" s="7" t="s">
        <v>546</v>
      </c>
      <c r="B309" s="7" t="s">
        <v>547</v>
      </c>
      <c r="C309" s="37">
        <v>3250</v>
      </c>
    </row>
    <row r="310" spans="1:3" ht="31.5" x14ac:dyDescent="0.25">
      <c r="A310" s="7" t="s">
        <v>548</v>
      </c>
      <c r="B310" s="7" t="s">
        <v>549</v>
      </c>
      <c r="C310" s="37">
        <v>3200</v>
      </c>
    </row>
    <row r="311" spans="1:3" ht="16.5" x14ac:dyDescent="0.25">
      <c r="A311" s="7" t="s">
        <v>550</v>
      </c>
      <c r="B311" s="7" t="s">
        <v>551</v>
      </c>
      <c r="C311" s="37">
        <v>1300</v>
      </c>
    </row>
    <row r="312" spans="1:3" ht="16.5" x14ac:dyDescent="0.25">
      <c r="A312" s="7" t="s">
        <v>552</v>
      </c>
      <c r="B312" s="7" t="s">
        <v>553</v>
      </c>
      <c r="C312" s="37">
        <v>1600</v>
      </c>
    </row>
    <row r="313" spans="1:3" ht="16.5" x14ac:dyDescent="0.25">
      <c r="A313" s="7" t="s">
        <v>554</v>
      </c>
      <c r="B313" s="7" t="s">
        <v>555</v>
      </c>
      <c r="C313" s="37">
        <v>1600</v>
      </c>
    </row>
    <row r="314" spans="1:3" ht="18" x14ac:dyDescent="0.25">
      <c r="A314" s="19"/>
      <c r="B314" s="19" t="s">
        <v>15568</v>
      </c>
      <c r="C314" s="10"/>
    </row>
    <row r="315" spans="1:3" ht="16.5" x14ac:dyDescent="0.25">
      <c r="A315" s="7" t="s">
        <v>556</v>
      </c>
      <c r="B315" s="7" t="s">
        <v>557</v>
      </c>
      <c r="C315" s="37">
        <v>575</v>
      </c>
    </row>
    <row r="316" spans="1:3" ht="16.5" x14ac:dyDescent="0.25">
      <c r="A316" s="7" t="s">
        <v>558</v>
      </c>
      <c r="B316" s="7" t="s">
        <v>559</v>
      </c>
      <c r="C316" s="37">
        <v>475</v>
      </c>
    </row>
    <row r="317" spans="1:3" ht="16.5" x14ac:dyDescent="0.25">
      <c r="A317" s="7" t="s">
        <v>558</v>
      </c>
      <c r="B317" s="7" t="s">
        <v>560</v>
      </c>
      <c r="C317" s="37">
        <v>525</v>
      </c>
    </row>
    <row r="318" spans="1:3" ht="16.5" x14ac:dyDescent="0.25">
      <c r="A318" s="7" t="s">
        <v>561</v>
      </c>
      <c r="B318" s="7" t="s">
        <v>562</v>
      </c>
      <c r="C318" s="37">
        <v>425</v>
      </c>
    </row>
    <row r="319" spans="1:3" ht="16.5" x14ac:dyDescent="0.25">
      <c r="A319" s="7" t="s">
        <v>563</v>
      </c>
      <c r="B319" s="7" t="s">
        <v>564</v>
      </c>
      <c r="C319" s="37">
        <v>475</v>
      </c>
    </row>
    <row r="320" spans="1:3" ht="16.5" x14ac:dyDescent="0.25">
      <c r="A320" s="7" t="s">
        <v>565</v>
      </c>
      <c r="B320" s="7" t="s">
        <v>566</v>
      </c>
      <c r="C320" s="37">
        <v>425</v>
      </c>
    </row>
    <row r="321" spans="1:3" ht="16.5" x14ac:dyDescent="0.25">
      <c r="A321" s="7" t="s">
        <v>567</v>
      </c>
      <c r="B321" s="7" t="s">
        <v>568</v>
      </c>
      <c r="C321" s="37"/>
    </row>
    <row r="322" spans="1:3" ht="16.5" x14ac:dyDescent="0.25">
      <c r="A322" s="7" t="s">
        <v>569</v>
      </c>
      <c r="B322" s="7" t="s">
        <v>570</v>
      </c>
      <c r="C322" s="37">
        <v>475</v>
      </c>
    </row>
    <row r="323" spans="1:3" ht="16.5" x14ac:dyDescent="0.25">
      <c r="A323" s="7" t="s">
        <v>571</v>
      </c>
      <c r="B323" s="7" t="s">
        <v>572</v>
      </c>
      <c r="C323" s="37">
        <v>475</v>
      </c>
    </row>
    <row r="324" spans="1:3" ht="16.5" x14ac:dyDescent="0.25">
      <c r="A324" s="7" t="s">
        <v>573</v>
      </c>
      <c r="B324" s="7" t="s">
        <v>574</v>
      </c>
      <c r="C324" s="37">
        <v>900</v>
      </c>
    </row>
    <row r="325" spans="1:3" ht="16.5" x14ac:dyDescent="0.25">
      <c r="A325" s="7" t="s">
        <v>575</v>
      </c>
      <c r="B325" s="7" t="s">
        <v>576</v>
      </c>
      <c r="C325" s="37">
        <v>1000</v>
      </c>
    </row>
    <row r="326" spans="1:3" ht="16.5" x14ac:dyDescent="0.25">
      <c r="A326" s="7" t="s">
        <v>577</v>
      </c>
      <c r="B326" s="7" t="s">
        <v>578</v>
      </c>
      <c r="C326" s="37">
        <v>650</v>
      </c>
    </row>
    <row r="327" spans="1:3" ht="16.5" x14ac:dyDescent="0.25">
      <c r="A327" s="7" t="s">
        <v>579</v>
      </c>
      <c r="B327" s="7" t="s">
        <v>580</v>
      </c>
      <c r="C327" s="37">
        <v>750</v>
      </c>
    </row>
    <row r="328" spans="1:3" ht="16.5" x14ac:dyDescent="0.25">
      <c r="A328" s="7" t="s">
        <v>581</v>
      </c>
      <c r="B328" s="7" t="s">
        <v>582</v>
      </c>
      <c r="C328" s="37">
        <v>225</v>
      </c>
    </row>
    <row r="329" spans="1:3" ht="16.5" x14ac:dyDescent="0.25">
      <c r="A329" s="7" t="s">
        <v>583</v>
      </c>
      <c r="B329" s="7" t="s">
        <v>584</v>
      </c>
      <c r="C329" s="37">
        <v>250</v>
      </c>
    </row>
    <row r="330" spans="1:3" ht="16.5" x14ac:dyDescent="0.25">
      <c r="A330" s="7" t="s">
        <v>585</v>
      </c>
      <c r="B330" s="7" t="s">
        <v>586</v>
      </c>
      <c r="C330" s="37">
        <v>325</v>
      </c>
    </row>
    <row r="331" spans="1:3" ht="16.5" x14ac:dyDescent="0.25">
      <c r="A331" s="7" t="s">
        <v>587</v>
      </c>
      <c r="B331" s="7" t="s">
        <v>588</v>
      </c>
      <c r="C331" s="37">
        <v>550</v>
      </c>
    </row>
    <row r="332" spans="1:3" ht="18" x14ac:dyDescent="0.25">
      <c r="A332" s="19"/>
      <c r="B332" s="19" t="s">
        <v>589</v>
      </c>
      <c r="C332" s="10"/>
    </row>
    <row r="333" spans="1:3" ht="16.5" x14ac:dyDescent="0.25">
      <c r="A333" s="7" t="s">
        <v>590</v>
      </c>
      <c r="B333" s="14" t="s">
        <v>591</v>
      </c>
      <c r="C333" s="38">
        <v>1650</v>
      </c>
    </row>
    <row r="334" spans="1:3" ht="16.5" x14ac:dyDescent="0.25">
      <c r="A334" s="7">
        <v>3450</v>
      </c>
      <c r="B334" s="7" t="s">
        <v>592</v>
      </c>
      <c r="C334" s="39">
        <v>800</v>
      </c>
    </row>
    <row r="335" spans="1:3" ht="16.5" x14ac:dyDescent="0.25">
      <c r="A335" s="7" t="s">
        <v>593</v>
      </c>
      <c r="B335" s="14" t="s">
        <v>594</v>
      </c>
      <c r="C335" s="38">
        <v>800</v>
      </c>
    </row>
    <row r="336" spans="1:3" ht="16.5" x14ac:dyDescent="0.25">
      <c r="A336" s="12" t="s">
        <v>600</v>
      </c>
      <c r="B336" s="12" t="s">
        <v>601</v>
      </c>
      <c r="C336" s="38">
        <v>425</v>
      </c>
    </row>
    <row r="337" spans="1:3" ht="18" x14ac:dyDescent="0.25">
      <c r="A337" s="46"/>
      <c r="B337" s="20" t="s">
        <v>979</v>
      </c>
      <c r="C337" s="40"/>
    </row>
    <row r="338" spans="1:3" ht="31.5" x14ac:dyDescent="0.25">
      <c r="A338" s="7" t="s">
        <v>980</v>
      </c>
      <c r="B338" s="7" t="s">
        <v>987</v>
      </c>
      <c r="C338" s="30" t="s">
        <v>981</v>
      </c>
    </row>
    <row r="339" spans="1:3" ht="31.5" x14ac:dyDescent="0.25">
      <c r="A339" s="7" t="s">
        <v>982</v>
      </c>
      <c r="B339" s="7" t="s">
        <v>988</v>
      </c>
      <c r="C339" s="30" t="s">
        <v>983</v>
      </c>
    </row>
    <row r="340" spans="1:3" ht="47.25" x14ac:dyDescent="0.25">
      <c r="A340" s="7" t="s">
        <v>984</v>
      </c>
      <c r="B340" s="15" t="s">
        <v>985</v>
      </c>
      <c r="C340" s="30" t="s">
        <v>986</v>
      </c>
    </row>
    <row r="341" spans="1:3" ht="18" x14ac:dyDescent="0.25">
      <c r="A341" s="21"/>
      <c r="B341" s="21" t="s">
        <v>602</v>
      </c>
      <c r="C341" s="40"/>
    </row>
    <row r="342" spans="1:3" ht="16.5" x14ac:dyDescent="0.25">
      <c r="A342" s="22" t="s">
        <v>603</v>
      </c>
      <c r="B342" s="22" t="s">
        <v>604</v>
      </c>
      <c r="C342" s="37">
        <v>550</v>
      </c>
    </row>
    <row r="343" spans="1:3" ht="16.5" x14ac:dyDescent="0.25">
      <c r="A343" s="22" t="s">
        <v>605</v>
      </c>
      <c r="B343" s="22" t="s">
        <v>606</v>
      </c>
      <c r="C343" s="37">
        <v>560</v>
      </c>
    </row>
    <row r="344" spans="1:3" ht="16.5" x14ac:dyDescent="0.25">
      <c r="A344" s="22" t="s">
        <v>607</v>
      </c>
      <c r="B344" s="22" t="s">
        <v>608</v>
      </c>
      <c r="C344" s="37">
        <v>570</v>
      </c>
    </row>
    <row r="345" spans="1:3" ht="16.5" x14ac:dyDescent="0.25">
      <c r="A345" s="22" t="s">
        <v>609</v>
      </c>
      <c r="B345" s="22" t="s">
        <v>610</v>
      </c>
      <c r="C345" s="37">
        <v>750</v>
      </c>
    </row>
    <row r="346" spans="1:3" ht="16.5" x14ac:dyDescent="0.25">
      <c r="A346" s="22" t="s">
        <v>611</v>
      </c>
      <c r="B346" s="22" t="s">
        <v>612</v>
      </c>
      <c r="C346" s="37">
        <v>700</v>
      </c>
    </row>
    <row r="347" spans="1:3" ht="16.5" x14ac:dyDescent="0.25">
      <c r="A347" s="22" t="s">
        <v>613</v>
      </c>
      <c r="B347" s="22" t="s">
        <v>614</v>
      </c>
      <c r="C347" s="37">
        <v>700</v>
      </c>
    </row>
    <row r="348" spans="1:3" ht="16.5" x14ac:dyDescent="0.25">
      <c r="A348" s="22" t="s">
        <v>615</v>
      </c>
      <c r="B348" s="22" t="s">
        <v>616</v>
      </c>
      <c r="C348" s="37">
        <v>700</v>
      </c>
    </row>
    <row r="349" spans="1:3" ht="16.5" x14ac:dyDescent="0.25">
      <c r="A349" s="22" t="s">
        <v>617</v>
      </c>
      <c r="B349" s="22" t="s">
        <v>618</v>
      </c>
      <c r="C349" s="37">
        <v>700</v>
      </c>
    </row>
    <row r="350" spans="1:3" ht="16.5" x14ac:dyDescent="0.25">
      <c r="A350" s="22" t="s">
        <v>619</v>
      </c>
      <c r="B350" s="22" t="s">
        <v>620</v>
      </c>
      <c r="C350" s="37">
        <v>700</v>
      </c>
    </row>
    <row r="351" spans="1:3" ht="16.5" x14ac:dyDescent="0.25">
      <c r="A351" s="22" t="s">
        <v>621</v>
      </c>
      <c r="B351" s="22" t="s">
        <v>622</v>
      </c>
      <c r="C351" s="37">
        <v>700</v>
      </c>
    </row>
    <row r="352" spans="1:3" ht="16.5" x14ac:dyDescent="0.25">
      <c r="A352" s="22" t="s">
        <v>623</v>
      </c>
      <c r="B352" s="22" t="s">
        <v>624</v>
      </c>
      <c r="C352" s="37">
        <v>700</v>
      </c>
    </row>
    <row r="353" spans="1:3" ht="16.5" x14ac:dyDescent="0.25">
      <c r="A353" s="22" t="s">
        <v>625</v>
      </c>
      <c r="B353" s="22" t="s">
        <v>626</v>
      </c>
      <c r="C353" s="37">
        <v>600</v>
      </c>
    </row>
    <row r="354" spans="1:3" ht="16.5" x14ac:dyDescent="0.25">
      <c r="A354" s="22" t="s">
        <v>627</v>
      </c>
      <c r="B354" s="22" t="s">
        <v>628</v>
      </c>
      <c r="C354" s="37">
        <v>700</v>
      </c>
    </row>
    <row r="355" spans="1:3" ht="18" x14ac:dyDescent="0.25">
      <c r="A355" s="47"/>
      <c r="B355" s="21" t="s">
        <v>629</v>
      </c>
      <c r="C355" s="40"/>
    </row>
    <row r="356" spans="1:3" ht="16.5" x14ac:dyDescent="0.25">
      <c r="A356" s="22" t="s">
        <v>630</v>
      </c>
      <c r="B356" s="22" t="s">
        <v>631</v>
      </c>
      <c r="C356" s="37">
        <v>150</v>
      </c>
    </row>
    <row r="357" spans="1:3" ht="16.5" x14ac:dyDescent="0.25">
      <c r="A357" s="22" t="s">
        <v>632</v>
      </c>
      <c r="B357" s="22" t="s">
        <v>633</v>
      </c>
      <c r="C357" s="37">
        <v>160</v>
      </c>
    </row>
    <row r="358" spans="1:3" ht="16.5" x14ac:dyDescent="0.25">
      <c r="A358" s="22" t="s">
        <v>634</v>
      </c>
      <c r="B358" s="22" t="s">
        <v>635</v>
      </c>
      <c r="C358" s="37">
        <v>100</v>
      </c>
    </row>
    <row r="359" spans="1:3" ht="16.5" x14ac:dyDescent="0.25">
      <c r="A359" s="22" t="s">
        <v>636</v>
      </c>
      <c r="B359" s="22" t="s">
        <v>637</v>
      </c>
      <c r="C359" s="37">
        <v>200</v>
      </c>
    </row>
    <row r="360" spans="1:3" ht="16.5" x14ac:dyDescent="0.25">
      <c r="A360" s="22" t="s">
        <v>638</v>
      </c>
      <c r="B360" s="22" t="s">
        <v>639</v>
      </c>
      <c r="C360" s="37">
        <v>350</v>
      </c>
    </row>
    <row r="361" spans="1:3" ht="16.5" x14ac:dyDescent="0.25">
      <c r="A361" s="22" t="s">
        <v>640</v>
      </c>
      <c r="B361" s="22" t="s">
        <v>641</v>
      </c>
      <c r="C361" s="37">
        <v>50</v>
      </c>
    </row>
    <row r="362" spans="1:3" ht="16.5" x14ac:dyDescent="0.25">
      <c r="A362" s="22">
        <v>15371</v>
      </c>
      <c r="B362" s="22" t="s">
        <v>642</v>
      </c>
      <c r="C362" s="37">
        <v>100</v>
      </c>
    </row>
    <row r="363" spans="1:3" ht="16.5" x14ac:dyDescent="0.25">
      <c r="A363" s="22" t="s">
        <v>643</v>
      </c>
      <c r="B363" s="22" t="s">
        <v>644</v>
      </c>
      <c r="C363" s="37">
        <v>20</v>
      </c>
    </row>
    <row r="364" spans="1:3" ht="16.5" x14ac:dyDescent="0.25">
      <c r="A364" s="22">
        <v>22222</v>
      </c>
      <c r="B364" s="22" t="s">
        <v>645</v>
      </c>
      <c r="C364" s="37">
        <v>50</v>
      </c>
    </row>
    <row r="365" spans="1:3" ht="16.5" x14ac:dyDescent="0.25">
      <c r="A365" s="22" t="s">
        <v>646</v>
      </c>
      <c r="B365" s="22" t="s">
        <v>647</v>
      </c>
      <c r="C365" s="37">
        <v>200</v>
      </c>
    </row>
    <row r="366" spans="1:3" ht="18" x14ac:dyDescent="0.25">
      <c r="A366" s="47"/>
      <c r="B366" s="21" t="s">
        <v>648</v>
      </c>
      <c r="C366" s="40"/>
    </row>
    <row r="367" spans="1:3" x14ac:dyDescent="0.25">
      <c r="A367" s="22" t="s">
        <v>649</v>
      </c>
      <c r="B367" s="22" t="s">
        <v>650</v>
      </c>
      <c r="C367" s="30">
        <v>275</v>
      </c>
    </row>
    <row r="368" spans="1:3" x14ac:dyDescent="0.25">
      <c r="A368" s="22" t="s">
        <v>651</v>
      </c>
      <c r="B368" s="22" t="s">
        <v>652</v>
      </c>
      <c r="C368" s="30">
        <v>275</v>
      </c>
    </row>
    <row r="369" spans="1:3" x14ac:dyDescent="0.25">
      <c r="A369" s="22" t="s">
        <v>653</v>
      </c>
      <c r="B369" s="22" t="s">
        <v>654</v>
      </c>
      <c r="C369" s="30">
        <v>350</v>
      </c>
    </row>
    <row r="370" spans="1:3" x14ac:dyDescent="0.25">
      <c r="A370" s="22" t="s">
        <v>655</v>
      </c>
      <c r="B370" s="22" t="s">
        <v>656</v>
      </c>
      <c r="C370" s="30">
        <v>350</v>
      </c>
    </row>
    <row r="371" spans="1:3" x14ac:dyDescent="0.25">
      <c r="A371" s="22" t="s">
        <v>657</v>
      </c>
      <c r="B371" s="22" t="s">
        <v>658</v>
      </c>
      <c r="C371" s="30">
        <v>450</v>
      </c>
    </row>
    <row r="372" spans="1:3" x14ac:dyDescent="0.25">
      <c r="A372" s="22" t="s">
        <v>659</v>
      </c>
      <c r="B372" s="22" t="s">
        <v>660</v>
      </c>
      <c r="C372" s="30">
        <v>700</v>
      </c>
    </row>
    <row r="373" spans="1:3" x14ac:dyDescent="0.25">
      <c r="A373" s="22" t="s">
        <v>661</v>
      </c>
      <c r="B373" s="22" t="s">
        <v>662</v>
      </c>
      <c r="C373" s="30">
        <v>700</v>
      </c>
    </row>
    <row r="374" spans="1:3" x14ac:dyDescent="0.25">
      <c r="A374" s="22" t="s">
        <v>663</v>
      </c>
      <c r="B374" s="22" t="s">
        <v>664</v>
      </c>
      <c r="C374" s="30">
        <v>700</v>
      </c>
    </row>
    <row r="375" spans="1:3" x14ac:dyDescent="0.25">
      <c r="A375" s="22" t="s">
        <v>665</v>
      </c>
      <c r="B375" s="22" t="s">
        <v>666</v>
      </c>
      <c r="C375" s="30">
        <v>700</v>
      </c>
    </row>
    <row r="376" spans="1:3" x14ac:dyDescent="0.25">
      <c r="A376" s="22" t="s">
        <v>667</v>
      </c>
      <c r="B376" s="22" t="s">
        <v>668</v>
      </c>
      <c r="C376" s="30">
        <v>700</v>
      </c>
    </row>
    <row r="377" spans="1:3" x14ac:dyDescent="0.25">
      <c r="A377" s="22" t="s">
        <v>669</v>
      </c>
      <c r="B377" s="22" t="s">
        <v>670</v>
      </c>
      <c r="C377" s="30">
        <v>350</v>
      </c>
    </row>
    <row r="378" spans="1:3" x14ac:dyDescent="0.25">
      <c r="A378" s="22" t="s">
        <v>671</v>
      </c>
      <c r="B378" s="22" t="s">
        <v>672</v>
      </c>
      <c r="C378" s="30">
        <v>250</v>
      </c>
    </row>
    <row r="379" spans="1:3" x14ac:dyDescent="0.25">
      <c r="A379" s="22" t="s">
        <v>673</v>
      </c>
      <c r="B379" s="22" t="s">
        <v>674</v>
      </c>
      <c r="C379" s="30">
        <v>250</v>
      </c>
    </row>
    <row r="380" spans="1:3" x14ac:dyDescent="0.25">
      <c r="A380" s="22" t="s">
        <v>675</v>
      </c>
      <c r="B380" s="22" t="s">
        <v>676</v>
      </c>
      <c r="C380" s="30">
        <v>175</v>
      </c>
    </row>
    <row r="381" spans="1:3" x14ac:dyDescent="0.25">
      <c r="A381" s="22" t="s">
        <v>677</v>
      </c>
      <c r="B381" s="22" t="s">
        <v>678</v>
      </c>
      <c r="C381" s="30">
        <v>150</v>
      </c>
    </row>
    <row r="382" spans="1:3" ht="18" x14ac:dyDescent="0.25">
      <c r="A382" s="50"/>
      <c r="B382" s="23" t="s">
        <v>679</v>
      </c>
      <c r="C382" s="40"/>
    </row>
    <row r="383" spans="1:3" x14ac:dyDescent="0.25">
      <c r="A383" s="24" t="s">
        <v>680</v>
      </c>
      <c r="B383" s="24" t="s">
        <v>681</v>
      </c>
      <c r="C383" s="30">
        <v>400</v>
      </c>
    </row>
    <row r="384" spans="1:3" x14ac:dyDescent="0.25">
      <c r="A384" s="24" t="s">
        <v>682</v>
      </c>
      <c r="B384" s="24" t="s">
        <v>683</v>
      </c>
      <c r="C384" s="30">
        <v>375</v>
      </c>
    </row>
    <row r="385" spans="1:3" x14ac:dyDescent="0.25">
      <c r="A385" s="24" t="s">
        <v>684</v>
      </c>
      <c r="B385" s="24" t="s">
        <v>685</v>
      </c>
      <c r="C385" s="30">
        <v>325</v>
      </c>
    </row>
    <row r="386" spans="1:3" x14ac:dyDescent="0.25">
      <c r="A386" s="24" t="s">
        <v>686</v>
      </c>
      <c r="B386" s="24" t="s">
        <v>687</v>
      </c>
      <c r="C386" s="30">
        <v>1000</v>
      </c>
    </row>
    <row r="387" spans="1:3" x14ac:dyDescent="0.25">
      <c r="A387" s="24" t="s">
        <v>688</v>
      </c>
      <c r="B387" s="24" t="s">
        <v>689</v>
      </c>
      <c r="C387" s="30">
        <v>1100</v>
      </c>
    </row>
    <row r="388" spans="1:3" x14ac:dyDescent="0.25">
      <c r="A388" s="24" t="s">
        <v>690</v>
      </c>
      <c r="B388" s="24" t="s">
        <v>691</v>
      </c>
      <c r="C388" s="30">
        <v>1200</v>
      </c>
    </row>
    <row r="389" spans="1:3" x14ac:dyDescent="0.25">
      <c r="A389" s="24" t="s">
        <v>692</v>
      </c>
      <c r="B389" s="24" t="s">
        <v>693</v>
      </c>
      <c r="C389" s="30">
        <v>1300</v>
      </c>
    </row>
    <row r="390" spans="1:3" x14ac:dyDescent="0.25">
      <c r="A390" s="24" t="s">
        <v>694</v>
      </c>
      <c r="B390" s="24" t="s">
        <v>695</v>
      </c>
      <c r="C390" s="30">
        <v>1100</v>
      </c>
    </row>
    <row r="391" spans="1:3" x14ac:dyDescent="0.25">
      <c r="A391" s="24" t="s">
        <v>696</v>
      </c>
      <c r="B391" s="24" t="s">
        <v>697</v>
      </c>
      <c r="C391" s="30">
        <v>1200</v>
      </c>
    </row>
    <row r="392" spans="1:3" x14ac:dyDescent="0.25">
      <c r="A392" s="24" t="s">
        <v>698</v>
      </c>
      <c r="B392" s="24" t="s">
        <v>699</v>
      </c>
      <c r="C392" s="30">
        <v>1300</v>
      </c>
    </row>
    <row r="393" spans="1:3" x14ac:dyDescent="0.25">
      <c r="A393" s="24" t="s">
        <v>700</v>
      </c>
      <c r="B393" s="24" t="s">
        <v>701</v>
      </c>
      <c r="C393" s="30">
        <v>1400</v>
      </c>
    </row>
    <row r="394" spans="1:3" x14ac:dyDescent="0.25">
      <c r="A394" s="24" t="s">
        <v>702</v>
      </c>
      <c r="B394" s="24" t="s">
        <v>703</v>
      </c>
      <c r="C394" s="30">
        <v>1300</v>
      </c>
    </row>
    <row r="395" spans="1:3" x14ac:dyDescent="0.25">
      <c r="A395" s="24" t="s">
        <v>704</v>
      </c>
      <c r="B395" s="24" t="s">
        <v>705</v>
      </c>
      <c r="C395" s="30">
        <v>1400</v>
      </c>
    </row>
    <row r="396" spans="1:3" x14ac:dyDescent="0.25">
      <c r="A396" s="24" t="s">
        <v>706</v>
      </c>
      <c r="B396" s="24" t="s">
        <v>707</v>
      </c>
      <c r="C396" s="30">
        <v>1450</v>
      </c>
    </row>
    <row r="397" spans="1:3" x14ac:dyDescent="0.25">
      <c r="A397" s="24" t="s">
        <v>708</v>
      </c>
      <c r="B397" s="24" t="s">
        <v>709</v>
      </c>
      <c r="C397" s="30">
        <v>1500</v>
      </c>
    </row>
    <row r="398" spans="1:3" x14ac:dyDescent="0.25">
      <c r="A398" s="24" t="s">
        <v>710</v>
      </c>
      <c r="B398" s="24" t="s">
        <v>711</v>
      </c>
      <c r="C398" s="30">
        <v>300</v>
      </c>
    </row>
    <row r="399" spans="1:3" x14ac:dyDescent="0.25">
      <c r="A399" s="24" t="s">
        <v>712</v>
      </c>
      <c r="B399" s="24" t="s">
        <v>713</v>
      </c>
      <c r="C399" s="30">
        <v>675</v>
      </c>
    </row>
    <row r="400" spans="1:3" x14ac:dyDescent="0.25">
      <c r="A400" s="24" t="s">
        <v>714</v>
      </c>
      <c r="B400" s="24" t="s">
        <v>715</v>
      </c>
      <c r="C400" s="30">
        <v>775</v>
      </c>
    </row>
    <row r="401" spans="1:3" x14ac:dyDescent="0.25">
      <c r="A401" s="24" t="s">
        <v>716</v>
      </c>
      <c r="B401" s="24" t="s">
        <v>717</v>
      </c>
      <c r="C401" s="30">
        <v>300</v>
      </c>
    </row>
    <row r="402" spans="1:3" x14ac:dyDescent="0.25">
      <c r="A402" s="24" t="s">
        <v>718</v>
      </c>
      <c r="B402" s="24" t="s">
        <v>719</v>
      </c>
      <c r="C402" s="30">
        <v>850</v>
      </c>
    </row>
    <row r="403" spans="1:3" x14ac:dyDescent="0.25">
      <c r="A403" s="24" t="s">
        <v>720</v>
      </c>
      <c r="B403" s="24" t="s">
        <v>721</v>
      </c>
      <c r="C403" s="30">
        <v>950</v>
      </c>
    </row>
    <row r="404" spans="1:3" x14ac:dyDescent="0.25">
      <c r="A404" s="24" t="s">
        <v>722</v>
      </c>
      <c r="B404" s="24" t="s">
        <v>723</v>
      </c>
      <c r="C404" s="30">
        <v>950</v>
      </c>
    </row>
    <row r="405" spans="1:3" x14ac:dyDescent="0.25">
      <c r="A405" s="24" t="s">
        <v>724</v>
      </c>
      <c r="B405" s="24" t="s">
        <v>725</v>
      </c>
      <c r="C405" s="30">
        <v>1050</v>
      </c>
    </row>
    <row r="406" spans="1:3" x14ac:dyDescent="0.25">
      <c r="A406" s="24" t="s">
        <v>726</v>
      </c>
      <c r="B406" s="24" t="s">
        <v>727</v>
      </c>
      <c r="C406" s="30">
        <v>300</v>
      </c>
    </row>
    <row r="407" spans="1:3" ht="18" x14ac:dyDescent="0.25">
      <c r="A407" s="47"/>
      <c r="B407" s="25" t="s">
        <v>728</v>
      </c>
      <c r="C407" s="40"/>
    </row>
    <row r="408" spans="1:3" x14ac:dyDescent="0.25">
      <c r="A408" s="22" t="s">
        <v>729</v>
      </c>
      <c r="B408" s="4" t="s">
        <v>15583</v>
      </c>
      <c r="C408" s="30">
        <v>750</v>
      </c>
    </row>
    <row r="409" spans="1:3" x14ac:dyDescent="0.25">
      <c r="A409" s="22" t="s">
        <v>1081</v>
      </c>
      <c r="B409" s="12" t="s">
        <v>1082</v>
      </c>
      <c r="C409" s="30">
        <v>800</v>
      </c>
    </row>
    <row r="410" spans="1:3" x14ac:dyDescent="0.25">
      <c r="A410" s="22" t="s">
        <v>730</v>
      </c>
      <c r="B410" s="4" t="s">
        <v>731</v>
      </c>
      <c r="C410" s="30">
        <v>800</v>
      </c>
    </row>
    <row r="411" spans="1:3" ht="16.5" x14ac:dyDescent="0.25">
      <c r="A411" s="22" t="s">
        <v>1083</v>
      </c>
      <c r="B411" s="28" t="s">
        <v>1088</v>
      </c>
      <c r="C411" s="37">
        <v>750</v>
      </c>
    </row>
    <row r="412" spans="1:3" ht="16.5" x14ac:dyDescent="0.25">
      <c r="A412" s="22" t="s">
        <v>1084</v>
      </c>
      <c r="B412" s="28" t="s">
        <v>1089</v>
      </c>
      <c r="C412" s="37">
        <v>800</v>
      </c>
    </row>
    <row r="413" spans="1:3" ht="16.5" x14ac:dyDescent="0.25">
      <c r="A413" s="22" t="s">
        <v>1085</v>
      </c>
      <c r="B413" s="28" t="s">
        <v>1090</v>
      </c>
      <c r="C413" s="37">
        <v>800</v>
      </c>
    </row>
    <row r="414" spans="1:3" ht="16.5" x14ac:dyDescent="0.25">
      <c r="A414" s="22" t="s">
        <v>1086</v>
      </c>
      <c r="B414" s="28" t="s">
        <v>1091</v>
      </c>
      <c r="C414" s="37">
        <v>800</v>
      </c>
    </row>
    <row r="415" spans="1:3" ht="16.5" x14ac:dyDescent="0.25">
      <c r="A415" s="22" t="s">
        <v>1087</v>
      </c>
      <c r="B415" s="28" t="s">
        <v>1092</v>
      </c>
      <c r="C415" s="37">
        <v>800</v>
      </c>
    </row>
    <row r="416" spans="1:3" ht="18" x14ac:dyDescent="0.25">
      <c r="A416" s="47"/>
      <c r="B416" s="25" t="s">
        <v>732</v>
      </c>
      <c r="C416" s="40"/>
    </row>
    <row r="417" spans="1:3" x14ac:dyDescent="0.25">
      <c r="A417" s="22" t="s">
        <v>733</v>
      </c>
      <c r="B417" s="4" t="s">
        <v>734</v>
      </c>
      <c r="C417" s="30">
        <v>200</v>
      </c>
    </row>
    <row r="418" spans="1:3" x14ac:dyDescent="0.25">
      <c r="A418" s="22" t="s">
        <v>735</v>
      </c>
      <c r="B418" s="4" t="s">
        <v>736</v>
      </c>
      <c r="C418" s="30">
        <v>30</v>
      </c>
    </row>
    <row r="419" spans="1:3" x14ac:dyDescent="0.25">
      <c r="A419" s="22" t="s">
        <v>737</v>
      </c>
      <c r="B419" s="4" t="s">
        <v>738</v>
      </c>
      <c r="C419" s="30">
        <v>200</v>
      </c>
    </row>
    <row r="420" spans="1:3" x14ac:dyDescent="0.25">
      <c r="A420" s="22" t="s">
        <v>739</v>
      </c>
      <c r="B420" s="4" t="s">
        <v>740</v>
      </c>
      <c r="C420" s="30">
        <v>500</v>
      </c>
    </row>
    <row r="421" spans="1:3" ht="16.5" x14ac:dyDescent="0.25">
      <c r="A421" s="22" t="s">
        <v>1093</v>
      </c>
      <c r="B421" s="4" t="s">
        <v>1094</v>
      </c>
      <c r="C421" s="37">
        <v>10</v>
      </c>
    </row>
    <row r="422" spans="1:3" ht="16.5" x14ac:dyDescent="0.25">
      <c r="A422" s="22" t="s">
        <v>1095</v>
      </c>
      <c r="B422" s="4" t="s">
        <v>1096</v>
      </c>
      <c r="C422" s="37">
        <v>75</v>
      </c>
    </row>
    <row r="423" spans="1:3" ht="16.5" x14ac:dyDescent="0.25">
      <c r="A423" s="22" t="s">
        <v>1097</v>
      </c>
      <c r="B423" s="4" t="s">
        <v>1098</v>
      </c>
      <c r="C423" s="37">
        <v>25</v>
      </c>
    </row>
    <row r="424" spans="1:3" ht="16.5" x14ac:dyDescent="0.25">
      <c r="A424" s="22" t="s">
        <v>1099</v>
      </c>
      <c r="B424" s="4" t="s">
        <v>1100</v>
      </c>
      <c r="C424" s="37">
        <v>200</v>
      </c>
    </row>
    <row r="425" spans="1:3" ht="16.5" x14ac:dyDescent="0.25">
      <c r="A425" s="22" t="s">
        <v>1101</v>
      </c>
      <c r="B425" s="4" t="s">
        <v>1102</v>
      </c>
      <c r="C425" s="37">
        <v>400</v>
      </c>
    </row>
    <row r="426" spans="1:3" ht="16.5" x14ac:dyDescent="0.25">
      <c r="A426" s="12" t="s">
        <v>1103</v>
      </c>
      <c r="B426" s="4" t="s">
        <v>1104</v>
      </c>
      <c r="C426" s="37">
        <v>20</v>
      </c>
    </row>
    <row r="427" spans="1:3" ht="16.5" x14ac:dyDescent="0.25">
      <c r="A427" s="22" t="s">
        <v>1105</v>
      </c>
      <c r="B427" s="4" t="s">
        <v>1106</v>
      </c>
      <c r="C427" s="37">
        <v>125</v>
      </c>
    </row>
    <row r="428" spans="1:3" ht="18" x14ac:dyDescent="0.25">
      <c r="A428" s="25"/>
      <c r="B428" s="25" t="s">
        <v>741</v>
      </c>
      <c r="C428" s="11"/>
    </row>
    <row r="429" spans="1:3" x14ac:dyDescent="0.25">
      <c r="A429" s="7" t="s">
        <v>742</v>
      </c>
      <c r="B429" s="7" t="s">
        <v>743</v>
      </c>
      <c r="C429" s="30">
        <v>800</v>
      </c>
    </row>
    <row r="430" spans="1:3" x14ac:dyDescent="0.25">
      <c r="A430" s="7" t="s">
        <v>744</v>
      </c>
      <c r="B430" s="7" t="s">
        <v>745</v>
      </c>
      <c r="C430" s="30">
        <v>800</v>
      </c>
    </row>
    <row r="431" spans="1:3" x14ac:dyDescent="0.25">
      <c r="A431" s="7" t="s">
        <v>746</v>
      </c>
      <c r="B431" s="7" t="s">
        <v>747</v>
      </c>
      <c r="C431" s="30">
        <v>950</v>
      </c>
    </row>
    <row r="432" spans="1:3" x14ac:dyDescent="0.25">
      <c r="A432" s="7" t="s">
        <v>748</v>
      </c>
      <c r="B432" s="7" t="s">
        <v>749</v>
      </c>
      <c r="C432" s="30">
        <v>425</v>
      </c>
    </row>
    <row r="433" spans="1:3" x14ac:dyDescent="0.25">
      <c r="A433" s="7" t="s">
        <v>750</v>
      </c>
      <c r="B433" s="7" t="s">
        <v>751</v>
      </c>
      <c r="C433" s="30">
        <v>950</v>
      </c>
    </row>
    <row r="434" spans="1:3" x14ac:dyDescent="0.25">
      <c r="A434" s="7" t="s">
        <v>752</v>
      </c>
      <c r="B434" s="7" t="s">
        <v>753</v>
      </c>
      <c r="C434" s="30">
        <v>950</v>
      </c>
    </row>
    <row r="435" spans="1:3" x14ac:dyDescent="0.25">
      <c r="A435" s="7" t="s">
        <v>754</v>
      </c>
      <c r="B435" s="7" t="s">
        <v>755</v>
      </c>
      <c r="C435" s="30">
        <v>1050</v>
      </c>
    </row>
    <row r="436" spans="1:3" x14ac:dyDescent="0.25">
      <c r="A436" s="7" t="s">
        <v>756</v>
      </c>
      <c r="B436" s="7" t="s">
        <v>757</v>
      </c>
      <c r="C436" s="30">
        <v>1050</v>
      </c>
    </row>
    <row r="437" spans="1:3" x14ac:dyDescent="0.25">
      <c r="A437" s="7" t="s">
        <v>758</v>
      </c>
      <c r="B437" s="7" t="s">
        <v>759</v>
      </c>
      <c r="C437" s="30">
        <v>1100</v>
      </c>
    </row>
    <row r="438" spans="1:3" x14ac:dyDescent="0.25">
      <c r="A438" s="7" t="s">
        <v>760</v>
      </c>
      <c r="B438" s="7" t="s">
        <v>761</v>
      </c>
      <c r="C438" s="30">
        <v>425</v>
      </c>
    </row>
    <row r="439" spans="1:3" x14ac:dyDescent="0.25">
      <c r="A439" s="7" t="s">
        <v>762</v>
      </c>
      <c r="B439" s="7" t="s">
        <v>763</v>
      </c>
      <c r="C439" s="30">
        <v>1100</v>
      </c>
    </row>
    <row r="440" spans="1:3" x14ac:dyDescent="0.25">
      <c r="A440" s="7" t="s">
        <v>764</v>
      </c>
      <c r="B440" s="7" t="s">
        <v>765</v>
      </c>
      <c r="C440" s="30">
        <v>800</v>
      </c>
    </row>
    <row r="441" spans="1:3" x14ac:dyDescent="0.25">
      <c r="A441" s="7" t="s">
        <v>766</v>
      </c>
      <c r="B441" s="7" t="s">
        <v>767</v>
      </c>
      <c r="C441" s="30">
        <v>800</v>
      </c>
    </row>
    <row r="442" spans="1:3" ht="18" x14ac:dyDescent="0.25">
      <c r="A442" s="25"/>
      <c r="B442" s="25" t="s">
        <v>768</v>
      </c>
      <c r="C442" s="11"/>
    </row>
    <row r="443" spans="1:3" x14ac:dyDescent="0.25">
      <c r="A443" s="7" t="s">
        <v>769</v>
      </c>
      <c r="B443" s="7" t="s">
        <v>770</v>
      </c>
      <c r="C443" s="30">
        <v>200</v>
      </c>
    </row>
    <row r="444" spans="1:3" x14ac:dyDescent="0.25">
      <c r="A444" s="7" t="s">
        <v>771</v>
      </c>
      <c r="B444" s="7" t="s">
        <v>772</v>
      </c>
      <c r="C444" s="30">
        <v>240</v>
      </c>
    </row>
    <row r="445" spans="1:3" x14ac:dyDescent="0.25">
      <c r="A445" s="7" t="s">
        <v>773</v>
      </c>
      <c r="B445" s="7" t="s">
        <v>774</v>
      </c>
      <c r="C445" s="30">
        <v>200</v>
      </c>
    </row>
    <row r="446" spans="1:3" x14ac:dyDescent="0.25">
      <c r="A446" s="7" t="s">
        <v>775</v>
      </c>
      <c r="B446" s="7" t="s">
        <v>776</v>
      </c>
      <c r="C446" s="30">
        <v>60</v>
      </c>
    </row>
    <row r="447" spans="1:3" x14ac:dyDescent="0.25">
      <c r="A447" s="7" t="s">
        <v>777</v>
      </c>
      <c r="B447" s="7" t="s">
        <v>778</v>
      </c>
      <c r="C447" s="30">
        <v>150</v>
      </c>
    </row>
    <row r="448" spans="1:3" x14ac:dyDescent="0.25">
      <c r="A448" s="7" t="s">
        <v>779</v>
      </c>
      <c r="B448" s="7" t="s">
        <v>780</v>
      </c>
      <c r="C448" s="30">
        <v>250</v>
      </c>
    </row>
    <row r="449" spans="1:3" ht="18" x14ac:dyDescent="0.25">
      <c r="A449" s="25"/>
      <c r="B449" s="25" t="s">
        <v>781</v>
      </c>
      <c r="C449" s="11"/>
    </row>
    <row r="450" spans="1:3" x14ac:dyDescent="0.25">
      <c r="A450" s="7" t="s">
        <v>782</v>
      </c>
      <c r="B450" s="7" t="s">
        <v>783</v>
      </c>
      <c r="C450" s="30">
        <v>650</v>
      </c>
    </row>
    <row r="451" spans="1:3" x14ac:dyDescent="0.25">
      <c r="A451" s="7" t="s">
        <v>784</v>
      </c>
      <c r="B451" s="7" t="s">
        <v>785</v>
      </c>
      <c r="C451" s="30">
        <v>525</v>
      </c>
    </row>
    <row r="452" spans="1:3" x14ac:dyDescent="0.25">
      <c r="A452" s="7" t="s">
        <v>786</v>
      </c>
      <c r="B452" s="7" t="s">
        <v>787</v>
      </c>
      <c r="C452" s="30">
        <v>750</v>
      </c>
    </row>
    <row r="453" spans="1:3" x14ac:dyDescent="0.25">
      <c r="A453" s="7" t="s">
        <v>788</v>
      </c>
      <c r="B453" s="7" t="s">
        <v>789</v>
      </c>
      <c r="C453" s="30">
        <v>600</v>
      </c>
    </row>
    <row r="454" spans="1:3" x14ac:dyDescent="0.25">
      <c r="A454" s="7" t="s">
        <v>790</v>
      </c>
      <c r="B454" s="7" t="s">
        <v>791</v>
      </c>
      <c r="C454" s="30">
        <v>550</v>
      </c>
    </row>
    <row r="455" spans="1:3" x14ac:dyDescent="0.25">
      <c r="A455" s="7" t="s">
        <v>792</v>
      </c>
      <c r="B455" s="7" t="s">
        <v>793</v>
      </c>
      <c r="C455" s="30">
        <v>775</v>
      </c>
    </row>
    <row r="456" spans="1:3" x14ac:dyDescent="0.25">
      <c r="A456" s="7" t="s">
        <v>794</v>
      </c>
      <c r="B456" s="7" t="s">
        <v>795</v>
      </c>
      <c r="C456" s="30">
        <v>700</v>
      </c>
    </row>
    <row r="457" spans="1:3" x14ac:dyDescent="0.25">
      <c r="A457" s="7" t="s">
        <v>796</v>
      </c>
      <c r="B457" s="7" t="s">
        <v>797</v>
      </c>
      <c r="C457" s="30">
        <v>850</v>
      </c>
    </row>
    <row r="458" spans="1:3" x14ac:dyDescent="0.25">
      <c r="A458" s="7" t="s">
        <v>798</v>
      </c>
      <c r="B458" s="7" t="s">
        <v>799</v>
      </c>
      <c r="C458" s="30">
        <v>600</v>
      </c>
    </row>
    <row r="459" spans="1:3" x14ac:dyDescent="0.25">
      <c r="A459" s="7" t="s">
        <v>800</v>
      </c>
      <c r="B459" s="7" t="s">
        <v>801</v>
      </c>
      <c r="C459" s="30">
        <v>225</v>
      </c>
    </row>
    <row r="460" spans="1:3" x14ac:dyDescent="0.25">
      <c r="A460" s="7" t="s">
        <v>794</v>
      </c>
      <c r="B460" s="7" t="s">
        <v>802</v>
      </c>
      <c r="C460" s="30">
        <v>575</v>
      </c>
    </row>
    <row r="461" spans="1:3" x14ac:dyDescent="0.25">
      <c r="A461" s="7" t="s">
        <v>796</v>
      </c>
      <c r="B461" s="7" t="s">
        <v>803</v>
      </c>
      <c r="C461" s="30">
        <v>850</v>
      </c>
    </row>
    <row r="462" spans="1:3" x14ac:dyDescent="0.25">
      <c r="A462" s="7" t="s">
        <v>804</v>
      </c>
      <c r="B462" s="7" t="s">
        <v>805</v>
      </c>
      <c r="C462" s="30">
        <v>700</v>
      </c>
    </row>
    <row r="463" spans="1:3" ht="18" x14ac:dyDescent="0.25">
      <c r="A463" s="25"/>
      <c r="B463" s="25" t="s">
        <v>812</v>
      </c>
      <c r="C463" s="11"/>
    </row>
    <row r="464" spans="1:3" ht="16.5" x14ac:dyDescent="0.25">
      <c r="A464" s="7" t="s">
        <v>806</v>
      </c>
      <c r="B464" s="7" t="s">
        <v>807</v>
      </c>
      <c r="C464" s="37">
        <v>425</v>
      </c>
    </row>
    <row r="465" spans="1:3" ht="16.5" x14ac:dyDescent="0.25">
      <c r="A465" s="7" t="s">
        <v>808</v>
      </c>
      <c r="B465" s="7" t="s">
        <v>809</v>
      </c>
      <c r="C465" s="37">
        <v>400</v>
      </c>
    </row>
    <row r="466" spans="1:3" ht="16.5" x14ac:dyDescent="0.25">
      <c r="A466" s="7" t="s">
        <v>810</v>
      </c>
      <c r="B466" s="7" t="s">
        <v>811</v>
      </c>
      <c r="C466" s="37">
        <v>175</v>
      </c>
    </row>
    <row r="467" spans="1:3" ht="18" x14ac:dyDescent="0.25">
      <c r="A467" s="25"/>
      <c r="B467" s="25" t="s">
        <v>813</v>
      </c>
      <c r="C467" s="11"/>
    </row>
    <row r="468" spans="1:3" x14ac:dyDescent="0.25">
      <c r="A468" s="7" t="s">
        <v>814</v>
      </c>
      <c r="B468" s="7" t="s">
        <v>815</v>
      </c>
      <c r="C468" s="30">
        <v>5000</v>
      </c>
    </row>
    <row r="469" spans="1:3" x14ac:dyDescent="0.25">
      <c r="A469" s="7" t="s">
        <v>816</v>
      </c>
      <c r="B469" s="7" t="s">
        <v>817</v>
      </c>
      <c r="C469" s="30">
        <v>6000</v>
      </c>
    </row>
    <row r="470" spans="1:3" x14ac:dyDescent="0.25">
      <c r="A470" s="7" t="s">
        <v>818</v>
      </c>
      <c r="B470" s="7" t="s">
        <v>819</v>
      </c>
      <c r="C470" s="30">
        <v>5000</v>
      </c>
    </row>
    <row r="471" spans="1:3" x14ac:dyDescent="0.25">
      <c r="A471" s="7" t="s">
        <v>820</v>
      </c>
      <c r="B471" s="7" t="s">
        <v>821</v>
      </c>
      <c r="C471" s="30">
        <v>5750</v>
      </c>
    </row>
    <row r="472" spans="1:3" x14ac:dyDescent="0.25">
      <c r="A472" s="7" t="s">
        <v>822</v>
      </c>
      <c r="B472" s="7" t="s">
        <v>823</v>
      </c>
      <c r="C472" s="30">
        <v>1200</v>
      </c>
    </row>
    <row r="473" spans="1:3" x14ac:dyDescent="0.25">
      <c r="A473" s="7" t="s">
        <v>824</v>
      </c>
      <c r="B473" s="7" t="s">
        <v>825</v>
      </c>
      <c r="C473" s="30">
        <v>5750</v>
      </c>
    </row>
    <row r="474" spans="1:3" x14ac:dyDescent="0.25">
      <c r="A474" s="7" t="s">
        <v>826</v>
      </c>
      <c r="B474" s="7" t="s">
        <v>827</v>
      </c>
      <c r="C474" s="30">
        <v>4000</v>
      </c>
    </row>
    <row r="475" spans="1:3" x14ac:dyDescent="0.25">
      <c r="A475" s="7" t="s">
        <v>828</v>
      </c>
      <c r="B475" s="7" t="s">
        <v>829</v>
      </c>
      <c r="C475" s="30">
        <v>2200</v>
      </c>
    </row>
    <row r="476" spans="1:3" x14ac:dyDescent="0.25">
      <c r="A476" s="7" t="s">
        <v>830</v>
      </c>
      <c r="B476" s="7" t="s">
        <v>831</v>
      </c>
      <c r="C476" s="30">
        <v>1050</v>
      </c>
    </row>
    <row r="477" spans="1:3" x14ac:dyDescent="0.25">
      <c r="A477" s="7" t="s">
        <v>832</v>
      </c>
      <c r="B477" s="7" t="s">
        <v>833</v>
      </c>
      <c r="C477" s="30">
        <v>1050</v>
      </c>
    </row>
    <row r="478" spans="1:3" ht="18" x14ac:dyDescent="0.25">
      <c r="A478" s="25"/>
      <c r="B478" s="25" t="s">
        <v>849</v>
      </c>
      <c r="C478" s="11"/>
    </row>
    <row r="479" spans="1:3" x14ac:dyDescent="0.25">
      <c r="A479" s="7" t="s">
        <v>834</v>
      </c>
      <c r="B479" s="7" t="s">
        <v>835</v>
      </c>
      <c r="C479" s="30">
        <v>700</v>
      </c>
    </row>
    <row r="480" spans="1:3" x14ac:dyDescent="0.25">
      <c r="A480" s="7" t="s">
        <v>836</v>
      </c>
      <c r="B480" s="7" t="s">
        <v>837</v>
      </c>
      <c r="C480" s="30">
        <v>800</v>
      </c>
    </row>
    <row r="481" spans="1:3" x14ac:dyDescent="0.25">
      <c r="A481" s="7" t="s">
        <v>838</v>
      </c>
      <c r="B481" s="7" t="s">
        <v>839</v>
      </c>
      <c r="C481" s="30">
        <v>950</v>
      </c>
    </row>
    <row r="482" spans="1:3" x14ac:dyDescent="0.25">
      <c r="A482" s="7" t="s">
        <v>840</v>
      </c>
      <c r="B482" s="7" t="s">
        <v>841</v>
      </c>
      <c r="C482" s="30">
        <v>1000</v>
      </c>
    </row>
    <row r="483" spans="1:3" ht="18" x14ac:dyDescent="0.25">
      <c r="A483" s="25"/>
      <c r="B483" s="25" t="s">
        <v>842</v>
      </c>
      <c r="C483" s="11"/>
    </row>
    <row r="484" spans="1:3" x14ac:dyDescent="0.25">
      <c r="A484" s="7" t="s">
        <v>843</v>
      </c>
      <c r="B484" s="7" t="s">
        <v>844</v>
      </c>
      <c r="C484" s="30">
        <v>100</v>
      </c>
    </row>
    <row r="485" spans="1:3" x14ac:dyDescent="0.25">
      <c r="A485" s="7" t="s">
        <v>845</v>
      </c>
      <c r="B485" s="7" t="s">
        <v>846</v>
      </c>
      <c r="C485" s="30">
        <v>75</v>
      </c>
    </row>
    <row r="486" spans="1:3" x14ac:dyDescent="0.25">
      <c r="A486" s="7" t="s">
        <v>847</v>
      </c>
      <c r="B486" s="7" t="s">
        <v>848</v>
      </c>
      <c r="C486" s="30">
        <v>100</v>
      </c>
    </row>
    <row r="487" spans="1:3" ht="18" x14ac:dyDescent="0.25">
      <c r="A487" s="19"/>
      <c r="B487" s="19" t="s">
        <v>995</v>
      </c>
      <c r="C487" s="10"/>
    </row>
    <row r="488" spans="1:3" x14ac:dyDescent="0.25">
      <c r="A488" s="4" t="s">
        <v>996</v>
      </c>
      <c r="B488" s="4" t="s">
        <v>997</v>
      </c>
      <c r="C488" s="5">
        <v>375</v>
      </c>
    </row>
    <row r="489" spans="1:3" x14ac:dyDescent="0.25">
      <c r="A489" s="4" t="s">
        <v>998</v>
      </c>
      <c r="B489" s="4" t="s">
        <v>999</v>
      </c>
      <c r="C489" s="5">
        <v>375</v>
      </c>
    </row>
    <row r="490" spans="1:3" x14ac:dyDescent="0.25">
      <c r="A490" s="12" t="s">
        <v>1000</v>
      </c>
      <c r="B490" s="12" t="s">
        <v>1001</v>
      </c>
      <c r="C490" s="5">
        <v>375</v>
      </c>
    </row>
    <row r="491" spans="1:3" x14ac:dyDescent="0.25">
      <c r="A491" s="4" t="s">
        <v>1002</v>
      </c>
      <c r="B491" s="4" t="s">
        <v>1003</v>
      </c>
      <c r="C491" s="5">
        <v>425</v>
      </c>
    </row>
    <row r="492" spans="1:3" x14ac:dyDescent="0.25">
      <c r="A492" s="4" t="s">
        <v>1004</v>
      </c>
      <c r="B492" s="4" t="s">
        <v>1005</v>
      </c>
      <c r="C492" s="5">
        <v>425</v>
      </c>
    </row>
    <row r="493" spans="1:3" x14ac:dyDescent="0.25">
      <c r="A493" s="4" t="s">
        <v>1006</v>
      </c>
      <c r="B493" s="4" t="s">
        <v>1007</v>
      </c>
      <c r="C493" s="5">
        <v>425</v>
      </c>
    </row>
    <row r="494" spans="1:3" x14ac:dyDescent="0.25">
      <c r="A494" s="4" t="s">
        <v>1008</v>
      </c>
      <c r="B494" s="4" t="s">
        <v>1009</v>
      </c>
      <c r="C494" s="5">
        <v>425</v>
      </c>
    </row>
    <row r="495" spans="1:3" x14ac:dyDescent="0.25">
      <c r="A495" s="4" t="s">
        <v>1010</v>
      </c>
      <c r="B495" s="4" t="s">
        <v>1011</v>
      </c>
      <c r="C495" s="5">
        <v>325</v>
      </c>
    </row>
    <row r="496" spans="1:3" x14ac:dyDescent="0.25">
      <c r="A496" s="4" t="s">
        <v>1012</v>
      </c>
      <c r="B496" s="4" t="s">
        <v>1013</v>
      </c>
      <c r="C496" s="5">
        <v>325</v>
      </c>
    </row>
    <row r="497" spans="1:3" x14ac:dyDescent="0.25">
      <c r="A497" s="4" t="s">
        <v>1014</v>
      </c>
      <c r="B497" s="4" t="s">
        <v>1015</v>
      </c>
      <c r="C497" s="5">
        <v>325</v>
      </c>
    </row>
    <row r="498" spans="1:3" ht="18" x14ac:dyDescent="0.25">
      <c r="A498" s="25"/>
      <c r="B498" s="19" t="s">
        <v>8284</v>
      </c>
      <c r="C498" s="11"/>
    </row>
    <row r="499" spans="1:3" x14ac:dyDescent="0.25">
      <c r="A499" s="44" t="s">
        <v>1016</v>
      </c>
      <c r="B499" s="4" t="s">
        <v>1017</v>
      </c>
      <c r="C499" s="41">
        <v>1400</v>
      </c>
    </row>
    <row r="500" spans="1:3" x14ac:dyDescent="0.25">
      <c r="A500" s="4" t="s">
        <v>1018</v>
      </c>
      <c r="B500" s="4" t="s">
        <v>1019</v>
      </c>
      <c r="C500" s="41">
        <v>1400</v>
      </c>
    </row>
    <row r="501" spans="1:3" x14ac:dyDescent="0.25">
      <c r="A501" s="4" t="s">
        <v>1020</v>
      </c>
      <c r="B501" s="4" t="s">
        <v>1021</v>
      </c>
      <c r="C501" s="41">
        <v>1400</v>
      </c>
    </row>
    <row r="502" spans="1:3" x14ac:dyDescent="0.25">
      <c r="A502" s="4" t="s">
        <v>1022</v>
      </c>
      <c r="B502" s="4" t="s">
        <v>1023</v>
      </c>
      <c r="C502" s="41">
        <v>1400</v>
      </c>
    </row>
    <row r="503" spans="1:3" ht="18" x14ac:dyDescent="0.25">
      <c r="A503" s="49"/>
      <c r="B503" s="19" t="s">
        <v>8285</v>
      </c>
      <c r="C503" s="31"/>
    </row>
    <row r="504" spans="1:3" x14ac:dyDescent="0.25">
      <c r="A504" s="4" t="s">
        <v>8286</v>
      </c>
      <c r="B504" s="4" t="s">
        <v>8287</v>
      </c>
      <c r="C504" s="5">
        <v>1500</v>
      </c>
    </row>
    <row r="505" spans="1:3" x14ac:dyDescent="0.25">
      <c r="A505" s="4" t="s">
        <v>8288</v>
      </c>
      <c r="B505" s="4" t="s">
        <v>8289</v>
      </c>
      <c r="C505" s="5">
        <v>700</v>
      </c>
    </row>
    <row r="506" spans="1:3" x14ac:dyDescent="0.25">
      <c r="A506" s="4" t="s">
        <v>8290</v>
      </c>
      <c r="B506" s="4" t="s">
        <v>8291</v>
      </c>
      <c r="C506" s="5">
        <v>950</v>
      </c>
    </row>
    <row r="507" spans="1:3" x14ac:dyDescent="0.25">
      <c r="A507" s="4" t="s">
        <v>8292</v>
      </c>
      <c r="B507" s="4" t="s">
        <v>8293</v>
      </c>
      <c r="C507" s="5">
        <v>1800</v>
      </c>
    </row>
    <row r="508" spans="1:3" x14ac:dyDescent="0.25">
      <c r="A508" s="4" t="s">
        <v>8294</v>
      </c>
      <c r="B508" s="4" t="s">
        <v>8295</v>
      </c>
      <c r="C508" s="5">
        <v>1500</v>
      </c>
    </row>
    <row r="509" spans="1:3" x14ac:dyDescent="0.25">
      <c r="A509" s="4" t="s">
        <v>8296</v>
      </c>
      <c r="B509" s="4" t="s">
        <v>8297</v>
      </c>
      <c r="C509" s="5">
        <v>700</v>
      </c>
    </row>
    <row r="510" spans="1:3" x14ac:dyDescent="0.25">
      <c r="A510" s="4" t="s">
        <v>8298</v>
      </c>
      <c r="B510" s="4" t="s">
        <v>8299</v>
      </c>
      <c r="C510" s="5">
        <v>1450</v>
      </c>
    </row>
    <row r="511" spans="1:3" x14ac:dyDescent="0.25">
      <c r="A511" s="4" t="s">
        <v>8300</v>
      </c>
      <c r="B511" s="4" t="s">
        <v>8301</v>
      </c>
      <c r="C511" s="5">
        <v>1950</v>
      </c>
    </row>
    <row r="512" spans="1:3" x14ac:dyDescent="0.25">
      <c r="A512" s="4" t="s">
        <v>8302</v>
      </c>
      <c r="B512" s="4" t="s">
        <v>8303</v>
      </c>
      <c r="C512" s="5">
        <v>1500</v>
      </c>
    </row>
    <row r="513" spans="1:3" x14ac:dyDescent="0.25">
      <c r="A513" s="4" t="s">
        <v>8304</v>
      </c>
      <c r="B513" s="4" t="s">
        <v>8305</v>
      </c>
      <c r="C513" s="5">
        <v>700</v>
      </c>
    </row>
    <row r="514" spans="1:3" x14ac:dyDescent="0.25">
      <c r="A514" s="4" t="s">
        <v>8306</v>
      </c>
      <c r="B514" s="4" t="s">
        <v>8307</v>
      </c>
      <c r="C514" s="5">
        <v>950</v>
      </c>
    </row>
    <row r="515" spans="1:3" x14ac:dyDescent="0.25">
      <c r="A515" s="4" t="s">
        <v>8308</v>
      </c>
      <c r="B515" s="4" t="s">
        <v>8309</v>
      </c>
      <c r="C515" s="5">
        <v>1800</v>
      </c>
    </row>
    <row r="516" spans="1:3" ht="18" x14ac:dyDescent="0.25">
      <c r="A516" s="20"/>
      <c r="B516" s="20" t="s">
        <v>850</v>
      </c>
      <c r="C516" s="48"/>
    </row>
    <row r="517" spans="1:3" x14ac:dyDescent="0.25">
      <c r="A517" s="7" t="s">
        <v>851</v>
      </c>
      <c r="B517" s="7" t="s">
        <v>852</v>
      </c>
      <c r="C517" s="30">
        <v>600</v>
      </c>
    </row>
    <row r="518" spans="1:3" x14ac:dyDescent="0.25">
      <c r="A518" s="7" t="s">
        <v>853</v>
      </c>
      <c r="B518" s="7" t="s">
        <v>854</v>
      </c>
      <c r="C518" s="30">
        <v>700</v>
      </c>
    </row>
    <row r="519" spans="1:3" x14ac:dyDescent="0.25">
      <c r="A519" s="7" t="s">
        <v>855</v>
      </c>
      <c r="B519" s="7" t="s">
        <v>856</v>
      </c>
      <c r="C519" s="30">
        <v>700</v>
      </c>
    </row>
    <row r="520" spans="1:3" x14ac:dyDescent="0.25">
      <c r="A520" s="7" t="s">
        <v>857</v>
      </c>
      <c r="B520" s="7" t="s">
        <v>858</v>
      </c>
      <c r="C520" s="30">
        <v>600</v>
      </c>
    </row>
    <row r="521" spans="1:3" x14ac:dyDescent="0.25">
      <c r="A521" s="7" t="s">
        <v>859</v>
      </c>
      <c r="B521" s="7" t="s">
        <v>860</v>
      </c>
      <c r="C521" s="30">
        <v>60</v>
      </c>
    </row>
    <row r="522" spans="1:3" ht="18" x14ac:dyDescent="0.25">
      <c r="A522" s="25"/>
      <c r="B522" s="25" t="s">
        <v>948</v>
      </c>
      <c r="C522" s="11"/>
    </row>
    <row r="523" spans="1:3" x14ac:dyDescent="0.25">
      <c r="A523" s="7" t="s">
        <v>949</v>
      </c>
      <c r="B523" s="7" t="s">
        <v>950</v>
      </c>
      <c r="C523" s="30">
        <v>5000</v>
      </c>
    </row>
    <row r="524" spans="1:3" x14ac:dyDescent="0.25">
      <c r="A524" s="7" t="s">
        <v>951</v>
      </c>
      <c r="B524" s="7" t="s">
        <v>952</v>
      </c>
      <c r="C524" s="30">
        <v>3600</v>
      </c>
    </row>
    <row r="525" spans="1:3" x14ac:dyDescent="0.25">
      <c r="A525" s="7" t="s">
        <v>953</v>
      </c>
      <c r="B525" s="7" t="s">
        <v>954</v>
      </c>
      <c r="C525" s="30">
        <v>2400</v>
      </c>
    </row>
    <row r="526" spans="1:3" x14ac:dyDescent="0.25">
      <c r="A526" s="7" t="s">
        <v>955</v>
      </c>
      <c r="B526" s="7" t="s">
        <v>956</v>
      </c>
      <c r="C526" s="30">
        <v>1800</v>
      </c>
    </row>
    <row r="527" spans="1:3" x14ac:dyDescent="0.25">
      <c r="A527" s="7" t="s">
        <v>957</v>
      </c>
      <c r="B527" s="7" t="s">
        <v>958</v>
      </c>
      <c r="C527" s="30">
        <v>1200</v>
      </c>
    </row>
    <row r="528" spans="1:3" x14ac:dyDescent="0.25">
      <c r="A528" s="7" t="s">
        <v>959</v>
      </c>
      <c r="B528" s="7" t="s">
        <v>960</v>
      </c>
      <c r="C528" s="30">
        <v>200</v>
      </c>
    </row>
    <row r="529" spans="1:3" ht="18" x14ac:dyDescent="0.25">
      <c r="A529" s="25"/>
      <c r="B529" s="25" t="s">
        <v>861</v>
      </c>
      <c r="C529" s="11"/>
    </row>
    <row r="530" spans="1:3" x14ac:dyDescent="0.25">
      <c r="A530" s="7" t="s">
        <v>15569</v>
      </c>
      <c r="B530" s="7" t="s">
        <v>862</v>
      </c>
      <c r="C530" s="30">
        <v>4200</v>
      </c>
    </row>
    <row r="531" spans="1:3" x14ac:dyDescent="0.25">
      <c r="A531" s="7" t="s">
        <v>15570</v>
      </c>
      <c r="B531" s="7" t="s">
        <v>863</v>
      </c>
      <c r="C531" s="30">
        <v>4000</v>
      </c>
    </row>
    <row r="532" spans="1:3" x14ac:dyDescent="0.25">
      <c r="A532" s="7" t="s">
        <v>15571</v>
      </c>
      <c r="B532" s="7" t="s">
        <v>864</v>
      </c>
      <c r="C532" s="30">
        <v>4200</v>
      </c>
    </row>
    <row r="533" spans="1:3" x14ac:dyDescent="0.25">
      <c r="A533" s="7" t="s">
        <v>15572</v>
      </c>
      <c r="B533" s="7" t="s">
        <v>865</v>
      </c>
      <c r="C533" s="30">
        <v>4000</v>
      </c>
    </row>
    <row r="534" spans="1:3" ht="18" x14ac:dyDescent="0.25">
      <c r="A534" s="25"/>
      <c r="B534" s="25" t="s">
        <v>866</v>
      </c>
      <c r="C534" s="11"/>
    </row>
    <row r="535" spans="1:3" x14ac:dyDescent="0.25">
      <c r="A535" s="7" t="s">
        <v>15573</v>
      </c>
      <c r="B535" s="7" t="s">
        <v>867</v>
      </c>
      <c r="C535" s="30">
        <v>1600</v>
      </c>
    </row>
    <row r="536" spans="1:3" x14ac:dyDescent="0.25">
      <c r="A536" s="7" t="s">
        <v>15574</v>
      </c>
      <c r="B536" s="7" t="s">
        <v>868</v>
      </c>
      <c r="C536" s="30">
        <v>1700</v>
      </c>
    </row>
    <row r="537" spans="1:3" x14ac:dyDescent="0.25">
      <c r="A537" s="7" t="s">
        <v>15575</v>
      </c>
      <c r="B537" s="7" t="s">
        <v>869</v>
      </c>
      <c r="C537" s="30">
        <v>1500</v>
      </c>
    </row>
    <row r="538" spans="1:3" x14ac:dyDescent="0.25">
      <c r="A538" s="7" t="s">
        <v>15576</v>
      </c>
      <c r="B538" s="7" t="s">
        <v>870</v>
      </c>
      <c r="C538" s="30">
        <v>1600</v>
      </c>
    </row>
    <row r="539" spans="1:3" ht="18" x14ac:dyDescent="0.25">
      <c r="A539" s="25"/>
      <c r="B539" s="25" t="s">
        <v>871</v>
      </c>
      <c r="C539" s="11"/>
    </row>
    <row r="540" spans="1:3" x14ac:dyDescent="0.25">
      <c r="A540" s="7" t="s">
        <v>872</v>
      </c>
      <c r="B540" s="7" t="s">
        <v>873</v>
      </c>
      <c r="C540" s="30">
        <v>300</v>
      </c>
    </row>
    <row r="541" spans="1:3" x14ac:dyDescent="0.25">
      <c r="A541" s="7" t="s">
        <v>874</v>
      </c>
      <c r="B541" s="7" t="s">
        <v>875</v>
      </c>
      <c r="C541" s="30">
        <v>300</v>
      </c>
    </row>
    <row r="542" spans="1:3" x14ac:dyDescent="0.25">
      <c r="A542" s="7" t="s">
        <v>876</v>
      </c>
      <c r="B542" s="7" t="s">
        <v>877</v>
      </c>
      <c r="C542" s="30">
        <v>300</v>
      </c>
    </row>
    <row r="543" spans="1:3" ht="18" x14ac:dyDescent="0.25">
      <c r="A543" s="25"/>
      <c r="B543" s="25" t="s">
        <v>878</v>
      </c>
      <c r="C543" s="11"/>
    </row>
    <row r="544" spans="1:3" x14ac:dyDescent="0.25">
      <c r="A544" s="7" t="s">
        <v>879</v>
      </c>
      <c r="B544" s="7" t="s">
        <v>880</v>
      </c>
      <c r="C544" s="30">
        <v>2650</v>
      </c>
    </row>
    <row r="545" spans="1:3" x14ac:dyDescent="0.25">
      <c r="A545" s="7" t="s">
        <v>881</v>
      </c>
      <c r="B545" s="7" t="s">
        <v>882</v>
      </c>
      <c r="C545" s="30">
        <v>2650</v>
      </c>
    </row>
    <row r="546" spans="1:3" x14ac:dyDescent="0.25">
      <c r="A546" s="7" t="s">
        <v>15577</v>
      </c>
      <c r="B546" s="7" t="s">
        <v>883</v>
      </c>
      <c r="C546" s="30">
        <v>2550</v>
      </c>
    </row>
    <row r="547" spans="1:3" x14ac:dyDescent="0.25">
      <c r="A547" s="7" t="s">
        <v>15578</v>
      </c>
      <c r="B547" s="7" t="s">
        <v>884</v>
      </c>
      <c r="C547" s="30">
        <v>2550</v>
      </c>
    </row>
    <row r="548" spans="1:3" x14ac:dyDescent="0.25">
      <c r="A548" s="7" t="s">
        <v>885</v>
      </c>
      <c r="B548" s="7" t="s">
        <v>886</v>
      </c>
      <c r="C548" s="30">
        <v>2600</v>
      </c>
    </row>
    <row r="549" spans="1:3" x14ac:dyDescent="0.25">
      <c r="A549" s="7" t="s">
        <v>15579</v>
      </c>
      <c r="B549" s="7" t="s">
        <v>887</v>
      </c>
      <c r="C549" s="30">
        <v>2600</v>
      </c>
    </row>
    <row r="550" spans="1:3" x14ac:dyDescent="0.25">
      <c r="A550" s="7" t="s">
        <v>888</v>
      </c>
      <c r="B550" s="7" t="s">
        <v>889</v>
      </c>
      <c r="C550" s="30">
        <v>2400</v>
      </c>
    </row>
    <row r="551" spans="1:3" x14ac:dyDescent="0.25">
      <c r="A551" s="7" t="s">
        <v>15580</v>
      </c>
      <c r="B551" s="7" t="s">
        <v>890</v>
      </c>
      <c r="C551" s="30">
        <v>2450</v>
      </c>
    </row>
    <row r="552" spans="1:3" x14ac:dyDescent="0.25">
      <c r="A552" s="7" t="s">
        <v>891</v>
      </c>
      <c r="B552" s="7" t="s">
        <v>892</v>
      </c>
      <c r="C552" s="30">
        <v>500</v>
      </c>
    </row>
    <row r="553" spans="1:3" ht="18" x14ac:dyDescent="0.25">
      <c r="A553" s="25"/>
      <c r="B553" s="25" t="s">
        <v>893</v>
      </c>
      <c r="C553" s="11"/>
    </row>
    <row r="554" spans="1:3" x14ac:dyDescent="0.25">
      <c r="A554" s="7" t="s">
        <v>894</v>
      </c>
      <c r="B554" s="7" t="s">
        <v>895</v>
      </c>
      <c r="C554" s="30">
        <v>800</v>
      </c>
    </row>
    <row r="555" spans="1:3" x14ac:dyDescent="0.25">
      <c r="A555" s="7" t="s">
        <v>896</v>
      </c>
      <c r="B555" s="7" t="s">
        <v>897</v>
      </c>
      <c r="C555" s="30">
        <v>800</v>
      </c>
    </row>
    <row r="556" spans="1:3" x14ac:dyDescent="0.25">
      <c r="A556" s="7" t="s">
        <v>15581</v>
      </c>
      <c r="B556" s="7" t="s">
        <v>898</v>
      </c>
      <c r="C556" s="30">
        <v>800</v>
      </c>
    </row>
    <row r="557" spans="1:3" x14ac:dyDescent="0.25">
      <c r="A557" s="7" t="s">
        <v>15582</v>
      </c>
      <c r="B557" s="7" t="s">
        <v>899</v>
      </c>
      <c r="C557" s="30">
        <v>800</v>
      </c>
    </row>
    <row r="558" spans="1:3" ht="18" x14ac:dyDescent="0.25">
      <c r="A558" s="25"/>
      <c r="B558" s="25" t="s">
        <v>900</v>
      </c>
      <c r="C558" s="11"/>
    </row>
    <row r="559" spans="1:3" x14ac:dyDescent="0.25">
      <c r="A559" s="7" t="s">
        <v>901</v>
      </c>
      <c r="B559" s="7" t="s">
        <v>902</v>
      </c>
      <c r="C559" s="30">
        <v>750</v>
      </c>
    </row>
    <row r="560" spans="1:3" x14ac:dyDescent="0.25">
      <c r="A560" s="7" t="s">
        <v>903</v>
      </c>
      <c r="B560" s="7" t="s">
        <v>904</v>
      </c>
      <c r="C560" s="30">
        <v>800</v>
      </c>
    </row>
    <row r="561" spans="1:3" x14ac:dyDescent="0.25">
      <c r="A561" s="7" t="s">
        <v>905</v>
      </c>
      <c r="B561" s="7" t="s">
        <v>906</v>
      </c>
      <c r="C561" s="30">
        <v>800</v>
      </c>
    </row>
    <row r="562" spans="1:3" x14ac:dyDescent="0.25">
      <c r="A562" s="7" t="s">
        <v>907</v>
      </c>
      <c r="B562" s="7" t="s">
        <v>908</v>
      </c>
      <c r="C562" s="30">
        <v>750</v>
      </c>
    </row>
    <row r="563" spans="1:3" x14ac:dyDescent="0.25">
      <c r="A563" s="7" t="s">
        <v>909</v>
      </c>
      <c r="B563" s="7" t="s">
        <v>910</v>
      </c>
      <c r="C563" s="30">
        <v>800</v>
      </c>
    </row>
    <row r="564" spans="1:3" x14ac:dyDescent="0.25">
      <c r="A564" s="7" t="s">
        <v>911</v>
      </c>
      <c r="B564" s="7" t="s">
        <v>912</v>
      </c>
      <c r="C564" s="30">
        <v>750</v>
      </c>
    </row>
    <row r="565" spans="1:3" ht="18" x14ac:dyDescent="0.25">
      <c r="A565" s="25"/>
      <c r="B565" s="25" t="s">
        <v>913</v>
      </c>
      <c r="C565" s="11"/>
    </row>
    <row r="566" spans="1:3" x14ac:dyDescent="0.25">
      <c r="A566" s="7" t="s">
        <v>914</v>
      </c>
      <c r="B566" s="7" t="s">
        <v>915</v>
      </c>
      <c r="C566" s="30">
        <v>500</v>
      </c>
    </row>
    <row r="567" spans="1:3" x14ac:dyDescent="0.25">
      <c r="A567" s="7" t="s">
        <v>916</v>
      </c>
      <c r="B567" s="7" t="s">
        <v>917</v>
      </c>
      <c r="C567" s="30">
        <v>600</v>
      </c>
    </row>
    <row r="568" spans="1:3" ht="18" x14ac:dyDescent="0.25">
      <c r="A568" s="25"/>
      <c r="B568" s="25" t="s">
        <v>918</v>
      </c>
      <c r="C568" s="11"/>
    </row>
    <row r="569" spans="1:3" x14ac:dyDescent="0.25">
      <c r="A569" s="7" t="s">
        <v>919</v>
      </c>
      <c r="B569" s="7" t="s">
        <v>920</v>
      </c>
      <c r="C569" s="30">
        <v>500</v>
      </c>
    </row>
    <row r="570" spans="1:3" ht="18" x14ac:dyDescent="0.25">
      <c r="A570" s="25"/>
      <c r="B570" s="25" t="s">
        <v>921</v>
      </c>
      <c r="C570" s="11"/>
    </row>
    <row r="571" spans="1:3" x14ac:dyDescent="0.25">
      <c r="A571" s="7" t="s">
        <v>922</v>
      </c>
      <c r="B571" s="7" t="s">
        <v>923</v>
      </c>
      <c r="C571" s="30">
        <v>750</v>
      </c>
    </row>
    <row r="572" spans="1:3" x14ac:dyDescent="0.25">
      <c r="A572" s="7" t="s">
        <v>924</v>
      </c>
      <c r="B572" s="7" t="s">
        <v>925</v>
      </c>
      <c r="C572" s="30">
        <v>925</v>
      </c>
    </row>
    <row r="573" spans="1:3" x14ac:dyDescent="0.25">
      <c r="A573" s="45" t="s">
        <v>926</v>
      </c>
      <c r="B573" s="26" t="s">
        <v>927</v>
      </c>
      <c r="C573" s="30">
        <v>950</v>
      </c>
    </row>
    <row r="574" spans="1:3" ht="31.5" x14ac:dyDescent="0.25">
      <c r="A574" s="7" t="s">
        <v>928</v>
      </c>
      <c r="B574" s="7" t="s">
        <v>929</v>
      </c>
      <c r="C574" s="30">
        <v>925</v>
      </c>
    </row>
    <row r="575" spans="1:3" ht="18" x14ac:dyDescent="0.25">
      <c r="A575" s="46"/>
      <c r="B575" s="20" t="s">
        <v>930</v>
      </c>
      <c r="C575" s="40"/>
    </row>
    <row r="576" spans="1:3" ht="16.5" x14ac:dyDescent="0.25">
      <c r="A576" s="7" t="s">
        <v>931</v>
      </c>
      <c r="B576" s="7" t="s">
        <v>932</v>
      </c>
      <c r="C576" s="37">
        <v>1450</v>
      </c>
    </row>
    <row r="577" spans="1:3" ht="16.5" x14ac:dyDescent="0.25">
      <c r="A577" s="7" t="s">
        <v>933</v>
      </c>
      <c r="B577" s="7" t="s">
        <v>934</v>
      </c>
      <c r="C577" s="37">
        <v>1650</v>
      </c>
    </row>
    <row r="578" spans="1:3" ht="16.5" x14ac:dyDescent="0.25">
      <c r="A578" s="7" t="s">
        <v>935</v>
      </c>
      <c r="B578" s="7" t="s">
        <v>936</v>
      </c>
      <c r="C578" s="37">
        <v>350</v>
      </c>
    </row>
    <row r="579" spans="1:3" ht="16.5" x14ac:dyDescent="0.25">
      <c r="A579" s="7" t="s">
        <v>937</v>
      </c>
      <c r="B579" s="7" t="s">
        <v>938</v>
      </c>
      <c r="C579" s="37">
        <v>1500</v>
      </c>
    </row>
    <row r="580" spans="1:3" ht="16.5" x14ac:dyDescent="0.25">
      <c r="A580" s="7" t="s">
        <v>939</v>
      </c>
      <c r="B580" s="7" t="s">
        <v>940</v>
      </c>
      <c r="C580" s="37">
        <v>1700</v>
      </c>
    </row>
    <row r="581" spans="1:3" ht="16.5" x14ac:dyDescent="0.25">
      <c r="A581" s="7" t="s">
        <v>941</v>
      </c>
      <c r="B581" s="7" t="s">
        <v>942</v>
      </c>
      <c r="C581" s="37">
        <v>350</v>
      </c>
    </row>
    <row r="582" spans="1:3" ht="18" x14ac:dyDescent="0.25">
      <c r="A582" s="46"/>
      <c r="B582" s="20" t="s">
        <v>943</v>
      </c>
      <c r="C582" s="40"/>
    </row>
    <row r="583" spans="1:3" x14ac:dyDescent="0.25">
      <c r="A583" s="7" t="s">
        <v>944</v>
      </c>
      <c r="B583" s="7" t="s">
        <v>945</v>
      </c>
      <c r="C583" s="30">
        <v>800</v>
      </c>
    </row>
    <row r="584" spans="1:3" x14ac:dyDescent="0.25">
      <c r="A584" s="7" t="s">
        <v>946</v>
      </c>
      <c r="B584" s="7" t="s">
        <v>947</v>
      </c>
      <c r="C584" s="30">
        <v>1100</v>
      </c>
    </row>
    <row r="585" spans="1:3" ht="18" x14ac:dyDescent="0.25">
      <c r="A585" s="47"/>
      <c r="B585" s="21" t="s">
        <v>961</v>
      </c>
      <c r="C585" s="42"/>
    </row>
    <row r="586" spans="1:3" x14ac:dyDescent="0.25">
      <c r="A586" s="22" t="s">
        <v>962</v>
      </c>
      <c r="B586" s="7" t="s">
        <v>963</v>
      </c>
      <c r="C586" s="41">
        <v>15000</v>
      </c>
    </row>
    <row r="587" spans="1:3" x14ac:dyDescent="0.25">
      <c r="A587" s="22" t="s">
        <v>964</v>
      </c>
      <c r="B587" s="7" t="s">
        <v>965</v>
      </c>
      <c r="C587" s="41">
        <v>15000</v>
      </c>
    </row>
    <row r="588" spans="1:3" x14ac:dyDescent="0.25">
      <c r="A588" s="22" t="s">
        <v>966</v>
      </c>
      <c r="B588" s="7" t="s">
        <v>967</v>
      </c>
      <c r="C588" s="41">
        <v>1500</v>
      </c>
    </row>
    <row r="589" spans="1:3" x14ac:dyDescent="0.25">
      <c r="A589" s="22" t="s">
        <v>968</v>
      </c>
      <c r="B589" s="7" t="s">
        <v>969</v>
      </c>
      <c r="C589" s="41">
        <v>1500</v>
      </c>
    </row>
    <row r="590" spans="1:3" x14ac:dyDescent="0.25">
      <c r="A590" s="22" t="s">
        <v>970</v>
      </c>
      <c r="B590" s="7" t="s">
        <v>971</v>
      </c>
      <c r="C590" s="41">
        <v>20000</v>
      </c>
    </row>
    <row r="591" spans="1:3" ht="18" x14ac:dyDescent="0.25">
      <c r="A591" s="46"/>
      <c r="B591" s="20" t="s">
        <v>972</v>
      </c>
      <c r="C591" s="40"/>
    </row>
    <row r="592" spans="1:3" x14ac:dyDescent="0.25">
      <c r="A592" s="7">
        <v>75712</v>
      </c>
      <c r="B592" s="7" t="s">
        <v>973</v>
      </c>
      <c r="C592" s="30">
        <v>250</v>
      </c>
    </row>
    <row r="593" spans="1:3" x14ac:dyDescent="0.25">
      <c r="A593" s="7">
        <v>75812</v>
      </c>
      <c r="B593" s="7" t="s">
        <v>974</v>
      </c>
      <c r="C593" s="30">
        <v>275</v>
      </c>
    </row>
    <row r="594" spans="1:3" x14ac:dyDescent="0.25">
      <c r="A594" s="7">
        <v>74301</v>
      </c>
      <c r="B594" s="7" t="s">
        <v>975</v>
      </c>
      <c r="C594" s="30">
        <v>275</v>
      </c>
    </row>
    <row r="595" spans="1:3" x14ac:dyDescent="0.25">
      <c r="A595" s="7">
        <v>74304</v>
      </c>
      <c r="B595" s="7" t="s">
        <v>976</v>
      </c>
      <c r="C595" s="30">
        <v>250</v>
      </c>
    </row>
    <row r="596" spans="1:3" x14ac:dyDescent="0.25">
      <c r="A596" s="7">
        <v>45855</v>
      </c>
      <c r="B596" s="7" t="s">
        <v>977</v>
      </c>
      <c r="C596" s="30">
        <v>325</v>
      </c>
    </row>
    <row r="597" spans="1:3" x14ac:dyDescent="0.25">
      <c r="A597" s="7">
        <v>44451</v>
      </c>
      <c r="B597" s="7" t="s">
        <v>978</v>
      </c>
      <c r="C597" s="30">
        <v>325</v>
      </c>
    </row>
  </sheetData>
  <conditionalFormatting sqref="A336">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9AA25-7C78-4348-82CF-C096317A0170}">
  <dimension ref="A1:C44"/>
  <sheetViews>
    <sheetView zoomScale="80" zoomScaleNormal="80" workbookViewId="0">
      <selection activeCell="I13" sqref="I13"/>
    </sheetView>
  </sheetViews>
  <sheetFormatPr defaultColWidth="8.85546875" defaultRowHeight="15.75" x14ac:dyDescent="0.25"/>
  <cols>
    <col min="1" max="1" width="40.7109375" style="27" customWidth="1"/>
    <col min="2" max="2" width="105.7109375" style="27" customWidth="1"/>
    <col min="3" max="3" width="15.7109375" style="43" customWidth="1"/>
    <col min="4" max="16384" width="8.85546875" style="1"/>
  </cols>
  <sheetData>
    <row r="1" spans="1:3" ht="20.25" x14ac:dyDescent="0.25">
      <c r="A1" s="178" t="s">
        <v>1024</v>
      </c>
      <c r="B1" s="178" t="s">
        <v>1025</v>
      </c>
      <c r="C1" s="179" t="s">
        <v>1026</v>
      </c>
    </row>
    <row r="2" spans="1:3" x14ac:dyDescent="0.25">
      <c r="A2" s="12" t="s">
        <v>1027</v>
      </c>
      <c r="B2" s="12" t="s">
        <v>1028</v>
      </c>
      <c r="C2" s="32">
        <v>1750</v>
      </c>
    </row>
    <row r="3" spans="1:3" x14ac:dyDescent="0.25">
      <c r="A3" s="12" t="s">
        <v>1029</v>
      </c>
      <c r="B3" s="12" t="s">
        <v>1030</v>
      </c>
      <c r="C3" s="32">
        <v>7375</v>
      </c>
    </row>
    <row r="4" spans="1:3" x14ac:dyDescent="0.25">
      <c r="A4" s="12" t="s">
        <v>1031</v>
      </c>
      <c r="B4" s="12" t="s">
        <v>1032</v>
      </c>
      <c r="C4" s="32">
        <v>1750</v>
      </c>
    </row>
    <row r="5" spans="1:3" x14ac:dyDescent="0.25">
      <c r="A5" s="12" t="s">
        <v>1033</v>
      </c>
      <c r="B5" s="12" t="s">
        <v>1034</v>
      </c>
      <c r="C5" s="32">
        <v>7375</v>
      </c>
    </row>
    <row r="6" spans="1:3" x14ac:dyDescent="0.25">
      <c r="A6" s="12" t="s">
        <v>1035</v>
      </c>
      <c r="B6" s="12" t="s">
        <v>1036</v>
      </c>
      <c r="C6" s="32">
        <v>1250</v>
      </c>
    </row>
    <row r="7" spans="1:3" x14ac:dyDescent="0.25">
      <c r="A7" s="12" t="s">
        <v>1037</v>
      </c>
      <c r="B7" s="12" t="s">
        <v>1038</v>
      </c>
      <c r="C7" s="32">
        <v>4375</v>
      </c>
    </row>
    <row r="8" spans="1:3" x14ac:dyDescent="0.25">
      <c r="A8" s="12" t="s">
        <v>1039</v>
      </c>
      <c r="B8" s="12" t="s">
        <v>1040</v>
      </c>
      <c r="C8" s="32">
        <v>2000</v>
      </c>
    </row>
    <row r="9" spans="1:3" x14ac:dyDescent="0.25">
      <c r="A9" s="12" t="s">
        <v>1041</v>
      </c>
      <c r="B9" s="12" t="s">
        <v>1042</v>
      </c>
      <c r="C9" s="32">
        <v>8875</v>
      </c>
    </row>
    <row r="10" spans="1:3" x14ac:dyDescent="0.25">
      <c r="A10" s="12" t="s">
        <v>1043</v>
      </c>
      <c r="B10" s="12" t="s">
        <v>1044</v>
      </c>
      <c r="C10" s="32">
        <v>3000</v>
      </c>
    </row>
    <row r="11" spans="1:3" x14ac:dyDescent="0.25">
      <c r="A11" s="12" t="s">
        <v>1045</v>
      </c>
      <c r="B11" s="12" t="s">
        <v>1046</v>
      </c>
      <c r="C11" s="32">
        <v>12375</v>
      </c>
    </row>
    <row r="12" spans="1:3" x14ac:dyDescent="0.25">
      <c r="A12" s="12" t="s">
        <v>1047</v>
      </c>
      <c r="B12" s="12" t="s">
        <v>1048</v>
      </c>
      <c r="C12" s="32" t="s">
        <v>1049</v>
      </c>
    </row>
    <row r="13" spans="1:3" x14ac:dyDescent="0.25">
      <c r="A13" s="12" t="s">
        <v>1050</v>
      </c>
      <c r="B13" s="55" t="s">
        <v>1051</v>
      </c>
      <c r="C13" s="57" t="s">
        <v>1052</v>
      </c>
    </row>
    <row r="14" spans="1:3" x14ac:dyDescent="0.25">
      <c r="A14" s="12" t="s">
        <v>1053</v>
      </c>
      <c r="B14" s="55" t="s">
        <v>1054</v>
      </c>
      <c r="C14" s="57" t="s">
        <v>1049</v>
      </c>
    </row>
    <row r="15" spans="1:3" x14ac:dyDescent="0.25">
      <c r="A15" s="12" t="s">
        <v>1055</v>
      </c>
      <c r="B15" s="55" t="s">
        <v>1056</v>
      </c>
      <c r="C15" s="57" t="s">
        <v>1049</v>
      </c>
    </row>
    <row r="16" spans="1:3" x14ac:dyDescent="0.25">
      <c r="A16" s="12" t="s">
        <v>1057</v>
      </c>
      <c r="B16" s="55" t="s">
        <v>1058</v>
      </c>
      <c r="C16" s="57" t="s">
        <v>1059</v>
      </c>
    </row>
    <row r="17" spans="1:3" x14ac:dyDescent="0.25">
      <c r="A17" s="12" t="s">
        <v>1060</v>
      </c>
      <c r="B17" s="55" t="s">
        <v>1061</v>
      </c>
      <c r="C17" s="57" t="s">
        <v>1062</v>
      </c>
    </row>
    <row r="18" spans="1:3" x14ac:dyDescent="0.25">
      <c r="A18" s="12" t="s">
        <v>1063</v>
      </c>
      <c r="B18" s="44" t="s">
        <v>1064</v>
      </c>
      <c r="C18" s="57" t="s">
        <v>1065</v>
      </c>
    </row>
    <row r="19" spans="1:3" x14ac:dyDescent="0.25">
      <c r="A19" s="12" t="s">
        <v>1066</v>
      </c>
      <c r="B19" s="55" t="s">
        <v>1067</v>
      </c>
      <c r="C19" s="57" t="s">
        <v>1068</v>
      </c>
    </row>
    <row r="20" spans="1:3" x14ac:dyDescent="0.25">
      <c r="A20" s="12" t="s">
        <v>1069</v>
      </c>
      <c r="B20" s="55" t="s">
        <v>1070</v>
      </c>
      <c r="C20" s="57" t="s">
        <v>1071</v>
      </c>
    </row>
    <row r="21" spans="1:3" x14ac:dyDescent="0.25">
      <c r="A21" s="12" t="s">
        <v>1072</v>
      </c>
      <c r="B21" s="55" t="s">
        <v>1073</v>
      </c>
      <c r="C21" s="57" t="s">
        <v>1074</v>
      </c>
    </row>
    <row r="22" spans="1:3" x14ac:dyDescent="0.25">
      <c r="A22" s="12" t="s">
        <v>1075</v>
      </c>
      <c r="B22" s="55" t="s">
        <v>1076</v>
      </c>
      <c r="C22" s="57" t="s">
        <v>1077</v>
      </c>
    </row>
    <row r="23" spans="1:3" x14ac:dyDescent="0.25">
      <c r="A23" s="12" t="s">
        <v>1078</v>
      </c>
      <c r="B23" s="44" t="s">
        <v>1079</v>
      </c>
      <c r="C23" s="32" t="s">
        <v>1080</v>
      </c>
    </row>
    <row r="24" spans="1:3" x14ac:dyDescent="0.25">
      <c r="A24" s="12" t="s">
        <v>8330</v>
      </c>
      <c r="B24" s="12" t="s">
        <v>8327</v>
      </c>
      <c r="C24" s="32" t="s">
        <v>8328</v>
      </c>
    </row>
    <row r="25" spans="1:3" x14ac:dyDescent="0.25">
      <c r="A25" s="12" t="s">
        <v>8331</v>
      </c>
      <c r="B25" s="12" t="s">
        <v>8329</v>
      </c>
      <c r="C25" s="32" t="s">
        <v>8328</v>
      </c>
    </row>
    <row r="26" spans="1:3" ht="18" x14ac:dyDescent="0.25">
      <c r="A26" s="59"/>
      <c r="B26" s="60" t="s">
        <v>979</v>
      </c>
      <c r="C26" s="61"/>
    </row>
    <row r="27" spans="1:3" ht="31.5" x14ac:dyDescent="0.25">
      <c r="A27" s="3" t="s">
        <v>980</v>
      </c>
      <c r="B27" s="3" t="s">
        <v>987</v>
      </c>
      <c r="C27" s="58" t="s">
        <v>981</v>
      </c>
    </row>
    <row r="28" spans="1:3" ht="31.5" customHeight="1" x14ac:dyDescent="0.25">
      <c r="A28" s="3" t="s">
        <v>982</v>
      </c>
      <c r="B28" s="3" t="s">
        <v>988</v>
      </c>
      <c r="C28" s="58" t="s">
        <v>983</v>
      </c>
    </row>
    <row r="29" spans="1:3" ht="31.5" customHeight="1" x14ac:dyDescent="0.25">
      <c r="A29" s="3" t="s">
        <v>984</v>
      </c>
      <c r="B29" s="56" t="s">
        <v>985</v>
      </c>
      <c r="C29" s="58" t="s">
        <v>986</v>
      </c>
    </row>
    <row r="30" spans="1:3" x14ac:dyDescent="0.25">
      <c r="A30" s="12" t="s">
        <v>8332</v>
      </c>
      <c r="B30" s="12" t="s">
        <v>8311</v>
      </c>
      <c r="C30" s="32" t="s">
        <v>8312</v>
      </c>
    </row>
    <row r="31" spans="1:3" x14ac:dyDescent="0.25">
      <c r="A31" s="12" t="s">
        <v>8338</v>
      </c>
      <c r="B31" s="12" t="s">
        <v>8313</v>
      </c>
      <c r="C31" s="32" t="s">
        <v>8312</v>
      </c>
    </row>
    <row r="32" spans="1:3" x14ac:dyDescent="0.25">
      <c r="A32" s="12" t="s">
        <v>8339</v>
      </c>
      <c r="B32" s="12" t="s">
        <v>8314</v>
      </c>
      <c r="C32" s="32" t="s">
        <v>8312</v>
      </c>
    </row>
    <row r="33" spans="1:3" x14ac:dyDescent="0.25">
      <c r="A33" s="12" t="s">
        <v>8333</v>
      </c>
      <c r="B33" s="12" t="s">
        <v>8315</v>
      </c>
      <c r="C33" s="32" t="s">
        <v>8312</v>
      </c>
    </row>
    <row r="34" spans="1:3" x14ac:dyDescent="0.25">
      <c r="A34" s="12" t="s">
        <v>8334</v>
      </c>
      <c r="B34" s="12" t="s">
        <v>8316</v>
      </c>
      <c r="C34" s="32" t="s">
        <v>8312</v>
      </c>
    </row>
    <row r="35" spans="1:3" x14ac:dyDescent="0.25">
      <c r="A35" s="12" t="s">
        <v>8340</v>
      </c>
      <c r="B35" s="12" t="s">
        <v>8317</v>
      </c>
      <c r="C35" s="32" t="s">
        <v>8312</v>
      </c>
    </row>
    <row r="36" spans="1:3" x14ac:dyDescent="0.25">
      <c r="A36" s="12" t="s">
        <v>8341</v>
      </c>
      <c r="B36" s="12" t="s">
        <v>8318</v>
      </c>
      <c r="C36" s="32" t="s">
        <v>8312</v>
      </c>
    </row>
    <row r="37" spans="1:3" x14ac:dyDescent="0.25">
      <c r="A37" s="12" t="s">
        <v>8342</v>
      </c>
      <c r="B37" s="12" t="s">
        <v>8319</v>
      </c>
      <c r="C37" s="32" t="s">
        <v>8312</v>
      </c>
    </row>
    <row r="38" spans="1:3" x14ac:dyDescent="0.25">
      <c r="A38" s="12" t="s">
        <v>8335</v>
      </c>
      <c r="B38" s="12" t="s">
        <v>8320</v>
      </c>
      <c r="C38" s="32" t="s">
        <v>8312</v>
      </c>
    </row>
    <row r="39" spans="1:3" x14ac:dyDescent="0.25">
      <c r="A39" s="12" t="s">
        <v>8343</v>
      </c>
      <c r="B39" s="12" t="s">
        <v>8321</v>
      </c>
      <c r="C39" s="32" t="s">
        <v>8312</v>
      </c>
    </row>
    <row r="40" spans="1:3" x14ac:dyDescent="0.25">
      <c r="A40" s="12" t="s">
        <v>8336</v>
      </c>
      <c r="B40" s="12" t="s">
        <v>8322</v>
      </c>
      <c r="C40" s="32" t="s">
        <v>8312</v>
      </c>
    </row>
    <row r="41" spans="1:3" x14ac:dyDescent="0.25">
      <c r="A41" s="12" t="s">
        <v>8344</v>
      </c>
      <c r="B41" s="12" t="s">
        <v>8323</v>
      </c>
      <c r="C41" s="32" t="s">
        <v>8312</v>
      </c>
    </row>
    <row r="42" spans="1:3" x14ac:dyDescent="0.25">
      <c r="A42" s="12" t="s">
        <v>8337</v>
      </c>
      <c r="B42" s="12" t="s">
        <v>8324</v>
      </c>
      <c r="C42" s="32" t="s">
        <v>8312</v>
      </c>
    </row>
    <row r="43" spans="1:3" x14ac:dyDescent="0.25">
      <c r="A43" s="12" t="s">
        <v>8345</v>
      </c>
      <c r="B43" s="12" t="s">
        <v>8325</v>
      </c>
      <c r="C43" s="32" t="s">
        <v>8312</v>
      </c>
    </row>
    <row r="44" spans="1:3" x14ac:dyDescent="0.25">
      <c r="A44" s="12" t="s">
        <v>8346</v>
      </c>
      <c r="B44" s="12" t="s">
        <v>8326</v>
      </c>
      <c r="C44" s="32" t="s">
        <v>8312</v>
      </c>
    </row>
  </sheetData>
  <pageMargins left="0.7" right="0.7" top="0.75" bottom="0.75" header="0.3" footer="0.3"/>
  <pageSetup orientation="portrait" r:id="rId1"/>
  <ignoredErrors>
    <ignoredError sqref="C18:C1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892D3-47F6-4D26-AC3B-BA7437831B96}">
  <dimension ref="A1:H11876"/>
  <sheetViews>
    <sheetView zoomScale="80" zoomScaleNormal="80" workbookViewId="0">
      <selection activeCell="A11752" sqref="A11752:XFD11752"/>
    </sheetView>
  </sheetViews>
  <sheetFormatPr defaultColWidth="8.85546875" defaultRowHeight="15.75" x14ac:dyDescent="0.25"/>
  <cols>
    <col min="1" max="1" width="40.7109375" style="135" customWidth="1"/>
    <col min="2" max="2" width="105.7109375" style="135" customWidth="1"/>
    <col min="3" max="3" width="15.7109375" style="85" customWidth="1"/>
    <col min="4" max="16384" width="8.85546875" style="27"/>
  </cols>
  <sheetData>
    <row r="1" spans="1:3" ht="20.25" x14ac:dyDescent="0.25">
      <c r="A1" s="180" t="s">
        <v>1107</v>
      </c>
      <c r="B1" s="180" t="s">
        <v>1025</v>
      </c>
      <c r="C1" s="181" t="s">
        <v>2</v>
      </c>
    </row>
    <row r="2" spans="1:3" ht="18" x14ac:dyDescent="0.25">
      <c r="A2" s="182"/>
      <c r="B2" s="182" t="s">
        <v>8347</v>
      </c>
      <c r="C2" s="183"/>
    </row>
    <row r="3" spans="1:3" x14ac:dyDescent="0.25">
      <c r="A3" s="62" t="s">
        <v>1108</v>
      </c>
      <c r="B3" s="63" t="s">
        <v>1109</v>
      </c>
      <c r="C3" s="79" t="s">
        <v>8348</v>
      </c>
    </row>
    <row r="4" spans="1:3" x14ac:dyDescent="0.25">
      <c r="A4" s="62" t="s">
        <v>1110</v>
      </c>
      <c r="B4" s="63" t="s">
        <v>1111</v>
      </c>
      <c r="C4" s="79" t="s">
        <v>8348</v>
      </c>
    </row>
    <row r="5" spans="1:3" ht="18" x14ac:dyDescent="0.25">
      <c r="A5" s="182"/>
      <c r="B5" s="182" t="s">
        <v>8349</v>
      </c>
      <c r="C5" s="183"/>
    </row>
    <row r="6" spans="1:3" x14ac:dyDescent="0.25">
      <c r="A6" s="62" t="s">
        <v>1112</v>
      </c>
      <c r="B6" s="63" t="s">
        <v>1113</v>
      </c>
      <c r="C6" s="79" t="s">
        <v>8350</v>
      </c>
    </row>
    <row r="7" spans="1:3" x14ac:dyDescent="0.25">
      <c r="A7" s="62" t="s">
        <v>1114</v>
      </c>
      <c r="B7" s="63" t="s">
        <v>1115</v>
      </c>
      <c r="C7" s="79" t="s">
        <v>8350</v>
      </c>
    </row>
    <row r="8" spans="1:3" ht="18" x14ac:dyDescent="0.25">
      <c r="A8" s="182"/>
      <c r="B8" s="182" t="s">
        <v>8351</v>
      </c>
      <c r="C8" s="183"/>
    </row>
    <row r="9" spans="1:3" x14ac:dyDescent="0.25">
      <c r="A9" s="62" t="s">
        <v>1116</v>
      </c>
      <c r="B9" s="63" t="s">
        <v>1117</v>
      </c>
      <c r="C9" s="79" t="s">
        <v>8348</v>
      </c>
    </row>
    <row r="10" spans="1:3" x14ac:dyDescent="0.25">
      <c r="A10" s="62" t="s">
        <v>1118</v>
      </c>
      <c r="B10" s="63" t="s">
        <v>1119</v>
      </c>
      <c r="C10" s="79" t="s">
        <v>8348</v>
      </c>
    </row>
    <row r="11" spans="1:3" x14ac:dyDescent="0.25">
      <c r="A11" s="62" t="s">
        <v>1120</v>
      </c>
      <c r="B11" s="63" t="s">
        <v>1121</v>
      </c>
      <c r="C11" s="79" t="s">
        <v>8350</v>
      </c>
    </row>
    <row r="12" spans="1:3" ht="18" x14ac:dyDescent="0.25">
      <c r="A12" s="182"/>
      <c r="B12" s="182" t="s">
        <v>8352</v>
      </c>
      <c r="C12" s="183"/>
    </row>
    <row r="13" spans="1:3" x14ac:dyDescent="0.25">
      <c r="A13" s="62" t="s">
        <v>1122</v>
      </c>
      <c r="B13" s="63" t="s">
        <v>1123</v>
      </c>
      <c r="C13" s="79" t="s">
        <v>8350</v>
      </c>
    </row>
    <row r="14" spans="1:3" ht="18" x14ac:dyDescent="0.25">
      <c r="A14" s="182"/>
      <c r="B14" s="182" t="s">
        <v>8353</v>
      </c>
      <c r="C14" s="183"/>
    </row>
    <row r="15" spans="1:3" x14ac:dyDescent="0.25">
      <c r="A15" s="62" t="s">
        <v>1124</v>
      </c>
      <c r="B15" s="63" t="s">
        <v>1125</v>
      </c>
      <c r="C15" s="79" t="s">
        <v>8354</v>
      </c>
    </row>
    <row r="16" spans="1:3" x14ac:dyDescent="0.25">
      <c r="A16" s="62" t="s">
        <v>1126</v>
      </c>
      <c r="B16" s="63" t="s">
        <v>1127</v>
      </c>
      <c r="C16" s="79" t="s">
        <v>8354</v>
      </c>
    </row>
    <row r="17" spans="1:3" x14ac:dyDescent="0.25">
      <c r="A17" s="62" t="s">
        <v>1128</v>
      </c>
      <c r="B17" s="63" t="s">
        <v>1129</v>
      </c>
      <c r="C17" s="79" t="s">
        <v>8354</v>
      </c>
    </row>
    <row r="18" spans="1:3" x14ac:dyDescent="0.25">
      <c r="A18" s="62" t="s">
        <v>1130</v>
      </c>
      <c r="B18" s="63" t="s">
        <v>1131</v>
      </c>
      <c r="C18" s="79" t="s">
        <v>8354</v>
      </c>
    </row>
    <row r="19" spans="1:3" x14ac:dyDescent="0.25">
      <c r="A19" s="62" t="s">
        <v>1132</v>
      </c>
      <c r="B19" s="63" t="s">
        <v>1133</v>
      </c>
      <c r="C19" s="79" t="s">
        <v>8354</v>
      </c>
    </row>
    <row r="20" spans="1:3" x14ac:dyDescent="0.25">
      <c r="A20" s="62" t="s">
        <v>1134</v>
      </c>
      <c r="B20" s="63" t="s">
        <v>1135</v>
      </c>
      <c r="C20" s="79" t="s">
        <v>8354</v>
      </c>
    </row>
    <row r="21" spans="1:3" x14ac:dyDescent="0.25">
      <c r="A21" s="62" t="s">
        <v>1136</v>
      </c>
      <c r="B21" s="63" t="s">
        <v>1137</v>
      </c>
      <c r="C21" s="79" t="s">
        <v>8354</v>
      </c>
    </row>
    <row r="22" spans="1:3" x14ac:dyDescent="0.25">
      <c r="A22" s="62" t="s">
        <v>1138</v>
      </c>
      <c r="B22" s="63" t="s">
        <v>1139</v>
      </c>
      <c r="C22" s="79" t="s">
        <v>8354</v>
      </c>
    </row>
    <row r="23" spans="1:3" x14ac:dyDescent="0.25">
      <c r="A23" s="62" t="s">
        <v>1140</v>
      </c>
      <c r="B23" s="63" t="s">
        <v>1141</v>
      </c>
      <c r="C23" s="79" t="s">
        <v>8354</v>
      </c>
    </row>
    <row r="24" spans="1:3" x14ac:dyDescent="0.25">
      <c r="A24" s="62" t="s">
        <v>1142</v>
      </c>
      <c r="B24" s="63" t="s">
        <v>1143</v>
      </c>
      <c r="C24" s="79" t="s">
        <v>8354</v>
      </c>
    </row>
    <row r="25" spans="1:3" x14ac:dyDescent="0.25">
      <c r="A25" s="62" t="s">
        <v>1144</v>
      </c>
      <c r="B25" s="63" t="s">
        <v>1145</v>
      </c>
      <c r="C25" s="79" t="s">
        <v>8354</v>
      </c>
    </row>
    <row r="26" spans="1:3" x14ac:dyDescent="0.25">
      <c r="A26" s="62" t="s">
        <v>1146</v>
      </c>
      <c r="B26" s="63" t="s">
        <v>1147</v>
      </c>
      <c r="C26" s="79" t="s">
        <v>8354</v>
      </c>
    </row>
    <row r="27" spans="1:3" ht="18" x14ac:dyDescent="0.25">
      <c r="A27" s="182"/>
      <c r="B27" s="182" t="s">
        <v>8355</v>
      </c>
      <c r="C27" s="183"/>
    </row>
    <row r="28" spans="1:3" x14ac:dyDescent="0.25">
      <c r="A28" s="62" t="s">
        <v>1148</v>
      </c>
      <c r="B28" s="63" t="s">
        <v>1149</v>
      </c>
      <c r="C28" s="79" t="s">
        <v>8356</v>
      </c>
    </row>
    <row r="29" spans="1:3" x14ac:dyDescent="0.25">
      <c r="A29" s="62" t="s">
        <v>1150</v>
      </c>
      <c r="B29" s="63" t="s">
        <v>1151</v>
      </c>
      <c r="C29" s="79" t="s">
        <v>8356</v>
      </c>
    </row>
    <row r="30" spans="1:3" x14ac:dyDescent="0.25">
      <c r="A30" s="62" t="s">
        <v>1152</v>
      </c>
      <c r="B30" s="63" t="s">
        <v>1153</v>
      </c>
      <c r="C30" s="79" t="s">
        <v>8356</v>
      </c>
    </row>
    <row r="31" spans="1:3" x14ac:dyDescent="0.25">
      <c r="A31" s="62" t="s">
        <v>1154</v>
      </c>
      <c r="B31" s="63" t="s">
        <v>1155</v>
      </c>
      <c r="C31" s="79" t="s">
        <v>8356</v>
      </c>
    </row>
    <row r="32" spans="1:3" x14ac:dyDescent="0.25">
      <c r="A32" s="62" t="s">
        <v>1156</v>
      </c>
      <c r="B32" s="63" t="s">
        <v>1157</v>
      </c>
      <c r="C32" s="79" t="s">
        <v>8356</v>
      </c>
    </row>
    <row r="33" spans="1:3" x14ac:dyDescent="0.25">
      <c r="A33" s="62" t="s">
        <v>1158</v>
      </c>
      <c r="B33" s="63" t="s">
        <v>1159</v>
      </c>
      <c r="C33" s="79" t="s">
        <v>8356</v>
      </c>
    </row>
    <row r="34" spans="1:3" x14ac:dyDescent="0.25">
      <c r="A34" s="62" t="s">
        <v>1160</v>
      </c>
      <c r="B34" s="63" t="s">
        <v>1161</v>
      </c>
      <c r="C34" s="79" t="s">
        <v>8356</v>
      </c>
    </row>
    <row r="35" spans="1:3" x14ac:dyDescent="0.25">
      <c r="A35" s="62" t="s">
        <v>1162</v>
      </c>
      <c r="B35" s="63" t="s">
        <v>1163</v>
      </c>
      <c r="C35" s="79" t="s">
        <v>8356</v>
      </c>
    </row>
    <row r="36" spans="1:3" x14ac:dyDescent="0.25">
      <c r="A36" s="62" t="s">
        <v>1164</v>
      </c>
      <c r="B36" s="63" t="s">
        <v>1165</v>
      </c>
      <c r="C36" s="79" t="s">
        <v>8356</v>
      </c>
    </row>
    <row r="37" spans="1:3" x14ac:dyDescent="0.25">
      <c r="A37" s="62" t="s">
        <v>1166</v>
      </c>
      <c r="B37" s="63" t="s">
        <v>1167</v>
      </c>
      <c r="C37" s="79" t="s">
        <v>8356</v>
      </c>
    </row>
    <row r="38" spans="1:3" x14ac:dyDescent="0.25">
      <c r="A38" s="62" t="s">
        <v>1168</v>
      </c>
      <c r="B38" s="63" t="s">
        <v>1169</v>
      </c>
      <c r="C38" s="79" t="s">
        <v>8356</v>
      </c>
    </row>
    <row r="39" spans="1:3" ht="18" x14ac:dyDescent="0.25">
      <c r="A39" s="182"/>
      <c r="B39" s="182" t="s">
        <v>8357</v>
      </c>
      <c r="C39" s="183"/>
    </row>
    <row r="40" spans="1:3" x14ac:dyDescent="0.25">
      <c r="A40" s="62" t="s">
        <v>1170</v>
      </c>
      <c r="B40" s="63" t="s">
        <v>1171</v>
      </c>
      <c r="C40" s="79" t="s">
        <v>8354</v>
      </c>
    </row>
    <row r="41" spans="1:3" x14ac:dyDescent="0.25">
      <c r="A41" s="62" t="s">
        <v>1172</v>
      </c>
      <c r="B41" s="63" t="s">
        <v>1173</v>
      </c>
      <c r="C41" s="79" t="s">
        <v>8354</v>
      </c>
    </row>
    <row r="42" spans="1:3" x14ac:dyDescent="0.25">
      <c r="A42" s="62" t="s">
        <v>1174</v>
      </c>
      <c r="B42" s="63" t="s">
        <v>1175</v>
      </c>
      <c r="C42" s="79" t="s">
        <v>8354</v>
      </c>
    </row>
    <row r="43" spans="1:3" x14ac:dyDescent="0.25">
      <c r="A43" s="62" t="s">
        <v>1176</v>
      </c>
      <c r="B43" s="63" t="s">
        <v>1177</v>
      </c>
      <c r="C43" s="79" t="s">
        <v>8354</v>
      </c>
    </row>
    <row r="44" spans="1:3" x14ac:dyDescent="0.25">
      <c r="A44" s="62" t="s">
        <v>1178</v>
      </c>
      <c r="B44" s="63" t="s">
        <v>1133</v>
      </c>
      <c r="C44" s="79" t="s">
        <v>8354</v>
      </c>
    </row>
    <row r="45" spans="1:3" x14ac:dyDescent="0.25">
      <c r="A45" s="62" t="s">
        <v>1179</v>
      </c>
      <c r="B45" s="63" t="s">
        <v>1180</v>
      </c>
      <c r="C45" s="79" t="s">
        <v>8354</v>
      </c>
    </row>
    <row r="46" spans="1:3" x14ac:dyDescent="0.25">
      <c r="A46" s="62" t="s">
        <v>1181</v>
      </c>
      <c r="B46" s="63" t="s">
        <v>1182</v>
      </c>
      <c r="C46" s="79" t="s">
        <v>8354</v>
      </c>
    </row>
    <row r="47" spans="1:3" x14ac:dyDescent="0.25">
      <c r="A47" s="62" t="s">
        <v>1183</v>
      </c>
      <c r="B47" s="63" t="s">
        <v>1184</v>
      </c>
      <c r="C47" s="79" t="s">
        <v>8354</v>
      </c>
    </row>
    <row r="48" spans="1:3" x14ac:dyDescent="0.25">
      <c r="A48" s="62" t="s">
        <v>1185</v>
      </c>
      <c r="B48" s="63" t="s">
        <v>1186</v>
      </c>
      <c r="C48" s="79" t="s">
        <v>8354</v>
      </c>
    </row>
    <row r="49" spans="1:3" x14ac:dyDescent="0.25">
      <c r="A49" s="62" t="s">
        <v>1187</v>
      </c>
      <c r="B49" s="63" t="s">
        <v>1188</v>
      </c>
      <c r="C49" s="79" t="s">
        <v>8354</v>
      </c>
    </row>
    <row r="50" spans="1:3" x14ac:dyDescent="0.25">
      <c r="A50" s="62" t="s">
        <v>1189</v>
      </c>
      <c r="B50" s="63" t="s">
        <v>1190</v>
      </c>
      <c r="C50" s="79" t="s">
        <v>8354</v>
      </c>
    </row>
    <row r="51" spans="1:3" ht="18" x14ac:dyDescent="0.25">
      <c r="A51" s="182"/>
      <c r="B51" s="182" t="s">
        <v>8358</v>
      </c>
      <c r="C51" s="183"/>
    </row>
    <row r="52" spans="1:3" x14ac:dyDescent="0.25">
      <c r="A52" s="62" t="s">
        <v>1191</v>
      </c>
      <c r="B52" s="63" t="s">
        <v>1192</v>
      </c>
      <c r="C52" s="79" t="s">
        <v>8356</v>
      </c>
    </row>
    <row r="53" spans="1:3" x14ac:dyDescent="0.25">
      <c r="A53" s="62" t="s">
        <v>1193</v>
      </c>
      <c r="B53" s="63" t="s">
        <v>1194</v>
      </c>
      <c r="C53" s="79" t="s">
        <v>8356</v>
      </c>
    </row>
    <row r="54" spans="1:3" x14ac:dyDescent="0.25">
      <c r="A54" s="62" t="s">
        <v>1195</v>
      </c>
      <c r="B54" s="63" t="s">
        <v>1196</v>
      </c>
      <c r="C54" s="79" t="s">
        <v>8356</v>
      </c>
    </row>
    <row r="55" spans="1:3" x14ac:dyDescent="0.25">
      <c r="A55" s="62" t="s">
        <v>1197</v>
      </c>
      <c r="B55" s="63" t="s">
        <v>1198</v>
      </c>
      <c r="C55" s="79" t="s">
        <v>8356</v>
      </c>
    </row>
    <row r="56" spans="1:3" x14ac:dyDescent="0.25">
      <c r="A56" s="62" t="s">
        <v>1199</v>
      </c>
      <c r="B56" s="63" t="s">
        <v>1200</v>
      </c>
      <c r="C56" s="79" t="s">
        <v>8356</v>
      </c>
    </row>
    <row r="57" spans="1:3" x14ac:dyDescent="0.25">
      <c r="A57" s="62" t="s">
        <v>1201</v>
      </c>
      <c r="B57" s="63" t="s">
        <v>1202</v>
      </c>
      <c r="C57" s="79" t="s">
        <v>8356</v>
      </c>
    </row>
    <row r="58" spans="1:3" x14ac:dyDescent="0.25">
      <c r="A58" s="62" t="s">
        <v>1203</v>
      </c>
      <c r="B58" s="63" t="s">
        <v>1204</v>
      </c>
      <c r="C58" s="79" t="s">
        <v>8356</v>
      </c>
    </row>
    <row r="59" spans="1:3" x14ac:dyDescent="0.25">
      <c r="A59" s="62" t="s">
        <v>1205</v>
      </c>
      <c r="B59" s="63" t="s">
        <v>1206</v>
      </c>
      <c r="C59" s="79" t="s">
        <v>8356</v>
      </c>
    </row>
    <row r="60" spans="1:3" x14ac:dyDescent="0.25">
      <c r="A60" s="62" t="s">
        <v>1207</v>
      </c>
      <c r="B60" s="63" t="s">
        <v>1208</v>
      </c>
      <c r="C60" s="79" t="s">
        <v>8356</v>
      </c>
    </row>
    <row r="61" spans="1:3" ht="18" x14ac:dyDescent="0.25">
      <c r="A61" s="182"/>
      <c r="B61" s="182" t="s">
        <v>8359</v>
      </c>
      <c r="C61" s="183"/>
    </row>
    <row r="62" spans="1:3" ht="47.25" x14ac:dyDescent="0.25">
      <c r="A62" s="62" t="s">
        <v>1209</v>
      </c>
      <c r="B62" s="63" t="s">
        <v>1210</v>
      </c>
      <c r="C62" s="79" t="s">
        <v>8360</v>
      </c>
    </row>
    <row r="63" spans="1:3" ht="47.25" x14ac:dyDescent="0.25">
      <c r="A63" s="62" t="s">
        <v>1211</v>
      </c>
      <c r="B63" s="63" t="s">
        <v>1212</v>
      </c>
      <c r="C63" s="79" t="s">
        <v>8361</v>
      </c>
    </row>
    <row r="64" spans="1:3" ht="47.25" x14ac:dyDescent="0.25">
      <c r="A64" s="62" t="s">
        <v>1213</v>
      </c>
      <c r="B64" s="63" t="s">
        <v>1214</v>
      </c>
      <c r="C64" s="79" t="s">
        <v>8361</v>
      </c>
    </row>
    <row r="65" spans="1:3" ht="18" x14ac:dyDescent="0.25">
      <c r="A65" s="182"/>
      <c r="B65" s="182" t="s">
        <v>8362</v>
      </c>
      <c r="C65" s="183"/>
    </row>
    <row r="66" spans="1:3" ht="47.25" x14ac:dyDescent="0.25">
      <c r="A66" s="62" t="s">
        <v>1215</v>
      </c>
      <c r="B66" s="63" t="s">
        <v>1216</v>
      </c>
      <c r="C66" s="79" t="s">
        <v>8360</v>
      </c>
    </row>
    <row r="67" spans="1:3" ht="47.25" x14ac:dyDescent="0.25">
      <c r="A67" s="62" t="s">
        <v>1217</v>
      </c>
      <c r="B67" s="63" t="s">
        <v>1218</v>
      </c>
      <c r="C67" s="79" t="s">
        <v>8360</v>
      </c>
    </row>
    <row r="68" spans="1:3" ht="47.25" x14ac:dyDescent="0.25">
      <c r="A68" s="62" t="s">
        <v>1219</v>
      </c>
      <c r="B68" s="63" t="s">
        <v>1220</v>
      </c>
      <c r="C68" s="79" t="s">
        <v>8363</v>
      </c>
    </row>
    <row r="69" spans="1:3" ht="47.25" x14ac:dyDescent="0.25">
      <c r="A69" s="62" t="s">
        <v>1221</v>
      </c>
      <c r="B69" s="63" t="s">
        <v>1222</v>
      </c>
      <c r="C69" s="79" t="s">
        <v>8363</v>
      </c>
    </row>
    <row r="70" spans="1:3" ht="47.25" x14ac:dyDescent="0.25">
      <c r="A70" s="62" t="s">
        <v>1223</v>
      </c>
      <c r="B70" s="63" t="s">
        <v>1224</v>
      </c>
      <c r="C70" s="79" t="s">
        <v>8364</v>
      </c>
    </row>
    <row r="71" spans="1:3" ht="47.25" x14ac:dyDescent="0.25">
      <c r="A71" s="62" t="s">
        <v>1225</v>
      </c>
      <c r="B71" s="63" t="s">
        <v>1226</v>
      </c>
      <c r="C71" s="79" t="s">
        <v>8361</v>
      </c>
    </row>
    <row r="72" spans="1:3" ht="47.25" x14ac:dyDescent="0.25">
      <c r="A72" s="62" t="s">
        <v>1227</v>
      </c>
      <c r="B72" s="63" t="s">
        <v>1216</v>
      </c>
      <c r="C72" s="79" t="s">
        <v>8363</v>
      </c>
    </row>
    <row r="73" spans="1:3" ht="47.25" x14ac:dyDescent="0.25">
      <c r="A73" s="62" t="s">
        <v>1228</v>
      </c>
      <c r="B73" s="63" t="s">
        <v>1218</v>
      </c>
      <c r="C73" s="79" t="s">
        <v>8363</v>
      </c>
    </row>
    <row r="74" spans="1:3" ht="47.25" x14ac:dyDescent="0.25">
      <c r="A74" s="62" t="s">
        <v>1229</v>
      </c>
      <c r="B74" s="63" t="s">
        <v>1230</v>
      </c>
      <c r="C74" s="79" t="s">
        <v>8363</v>
      </c>
    </row>
    <row r="75" spans="1:3" ht="47.25" x14ac:dyDescent="0.25">
      <c r="A75" s="62" t="s">
        <v>1231</v>
      </c>
      <c r="B75" s="63" t="s">
        <v>1232</v>
      </c>
      <c r="C75" s="79" t="s">
        <v>8363</v>
      </c>
    </row>
    <row r="76" spans="1:3" ht="47.25" x14ac:dyDescent="0.25">
      <c r="A76" s="62" t="s">
        <v>1233</v>
      </c>
      <c r="B76" s="63" t="s">
        <v>1234</v>
      </c>
      <c r="C76" s="79" t="s">
        <v>8363</v>
      </c>
    </row>
    <row r="77" spans="1:3" ht="47.25" x14ac:dyDescent="0.25">
      <c r="A77" s="62" t="s">
        <v>1235</v>
      </c>
      <c r="B77" s="63" t="s">
        <v>1236</v>
      </c>
      <c r="C77" s="79" t="s">
        <v>8363</v>
      </c>
    </row>
    <row r="78" spans="1:3" ht="18" x14ac:dyDescent="0.25">
      <c r="A78" s="182"/>
      <c r="B78" s="182" t="s">
        <v>8365</v>
      </c>
      <c r="C78" s="183"/>
    </row>
    <row r="79" spans="1:3" ht="47.25" x14ac:dyDescent="0.25">
      <c r="A79" s="62" t="s">
        <v>1237</v>
      </c>
      <c r="B79" s="63" t="s">
        <v>1238</v>
      </c>
      <c r="C79" s="79" t="s">
        <v>8360</v>
      </c>
    </row>
    <row r="80" spans="1:3" ht="18" x14ac:dyDescent="0.25">
      <c r="A80" s="182"/>
      <c r="B80" s="182" t="s">
        <v>8366</v>
      </c>
      <c r="C80" s="183"/>
    </row>
    <row r="81" spans="1:3" ht="47.25" x14ac:dyDescent="0.25">
      <c r="A81" s="62" t="s">
        <v>1239</v>
      </c>
      <c r="B81" s="63" t="s">
        <v>1240</v>
      </c>
      <c r="C81" s="79" t="s">
        <v>8363</v>
      </c>
    </row>
    <row r="82" spans="1:3" ht="47.25" x14ac:dyDescent="0.25">
      <c r="A82" s="62" t="s">
        <v>1241</v>
      </c>
      <c r="B82" s="63" t="s">
        <v>1242</v>
      </c>
      <c r="C82" s="79" t="s">
        <v>8363</v>
      </c>
    </row>
    <row r="83" spans="1:3" ht="47.25" x14ac:dyDescent="0.25">
      <c r="A83" s="62" t="s">
        <v>1243</v>
      </c>
      <c r="B83" s="63" t="s">
        <v>1244</v>
      </c>
      <c r="C83" s="79" t="s">
        <v>8364</v>
      </c>
    </row>
    <row r="84" spans="1:3" ht="47.25" x14ac:dyDescent="0.25">
      <c r="A84" s="62" t="s">
        <v>1245</v>
      </c>
      <c r="B84" s="63" t="s">
        <v>1246</v>
      </c>
      <c r="C84" s="79" t="s">
        <v>8361</v>
      </c>
    </row>
    <row r="85" spans="1:3" ht="18" x14ac:dyDescent="0.25">
      <c r="A85" s="182"/>
      <c r="B85" s="182" t="s">
        <v>8367</v>
      </c>
      <c r="C85" s="183"/>
    </row>
    <row r="86" spans="1:3" x14ac:dyDescent="0.25">
      <c r="A86" s="62" t="s">
        <v>1247</v>
      </c>
      <c r="B86" s="63" t="s">
        <v>1248</v>
      </c>
      <c r="C86" s="79" t="s">
        <v>8368</v>
      </c>
    </row>
    <row r="87" spans="1:3" x14ac:dyDescent="0.25">
      <c r="A87" s="64"/>
      <c r="B87" s="64" t="s">
        <v>8369</v>
      </c>
      <c r="C87" s="80"/>
    </row>
    <row r="88" spans="1:3" ht="18" x14ac:dyDescent="0.25">
      <c r="A88" s="182"/>
      <c r="B88" s="182" t="s">
        <v>8370</v>
      </c>
      <c r="C88" s="183"/>
    </row>
    <row r="89" spans="1:3" x14ac:dyDescent="0.25">
      <c r="A89" s="62" t="s">
        <v>1249</v>
      </c>
      <c r="B89" s="63" t="s">
        <v>1250</v>
      </c>
      <c r="C89" s="79" t="s">
        <v>8371</v>
      </c>
    </row>
    <row r="90" spans="1:3" x14ac:dyDescent="0.25">
      <c r="A90" s="64"/>
      <c r="B90" s="64" t="s">
        <v>8372</v>
      </c>
      <c r="C90" s="80"/>
    </row>
    <row r="91" spans="1:3" ht="18" x14ac:dyDescent="0.25">
      <c r="A91" s="182"/>
      <c r="B91" s="182" t="s">
        <v>8373</v>
      </c>
      <c r="C91" s="183"/>
    </row>
    <row r="92" spans="1:3" ht="31.5" x14ac:dyDescent="0.25">
      <c r="A92" s="62" t="s">
        <v>1251</v>
      </c>
      <c r="B92" s="63" t="s">
        <v>1252</v>
      </c>
      <c r="C92" s="79" t="s">
        <v>8374</v>
      </c>
    </row>
    <row r="93" spans="1:3" ht="31.5" x14ac:dyDescent="0.25">
      <c r="A93" s="62" t="s">
        <v>1253</v>
      </c>
      <c r="B93" s="63" t="s">
        <v>1254</v>
      </c>
      <c r="C93" s="79" t="s">
        <v>8375</v>
      </c>
    </row>
    <row r="94" spans="1:3" ht="31.5" x14ac:dyDescent="0.25">
      <c r="A94" s="62" t="s">
        <v>1255</v>
      </c>
      <c r="B94" s="63" t="s">
        <v>1256</v>
      </c>
      <c r="C94" s="79" t="s">
        <v>8376</v>
      </c>
    </row>
    <row r="95" spans="1:3" ht="47.25" x14ac:dyDescent="0.25">
      <c r="A95" s="62" t="s">
        <v>1257</v>
      </c>
      <c r="B95" s="63" t="s">
        <v>1258</v>
      </c>
      <c r="C95" s="79" t="s">
        <v>8377</v>
      </c>
    </row>
    <row r="96" spans="1:3" ht="47.25" x14ac:dyDescent="0.25">
      <c r="A96" s="62" t="s">
        <v>1259</v>
      </c>
      <c r="B96" s="63" t="s">
        <v>1260</v>
      </c>
      <c r="C96" s="79" t="s">
        <v>8378</v>
      </c>
    </row>
    <row r="97" spans="1:3" ht="47.25" x14ac:dyDescent="0.25">
      <c r="A97" s="62" t="s">
        <v>1261</v>
      </c>
      <c r="B97" s="63" t="s">
        <v>1262</v>
      </c>
      <c r="C97" s="79" t="s">
        <v>8379</v>
      </c>
    </row>
    <row r="98" spans="1:3" ht="18" x14ac:dyDescent="0.25">
      <c r="A98" s="182"/>
      <c r="B98" s="182" t="s">
        <v>8380</v>
      </c>
      <c r="C98" s="183"/>
    </row>
    <row r="99" spans="1:3" ht="31.5" x14ac:dyDescent="0.25">
      <c r="A99" s="62" t="s">
        <v>1263</v>
      </c>
      <c r="B99" s="63" t="s">
        <v>1264</v>
      </c>
      <c r="C99" s="79" t="s">
        <v>8381</v>
      </c>
    </row>
    <row r="100" spans="1:3" ht="31.5" x14ac:dyDescent="0.25">
      <c r="A100" s="62" t="s">
        <v>1265</v>
      </c>
      <c r="B100" s="63" t="s">
        <v>1266</v>
      </c>
      <c r="C100" s="79" t="s">
        <v>8382</v>
      </c>
    </row>
    <row r="101" spans="1:3" ht="18" x14ac:dyDescent="0.25">
      <c r="A101" s="182"/>
      <c r="B101" s="182" t="s">
        <v>8383</v>
      </c>
      <c r="C101" s="183"/>
    </row>
    <row r="102" spans="1:3" ht="31.5" x14ac:dyDescent="0.25">
      <c r="A102" s="62" t="s">
        <v>1267</v>
      </c>
      <c r="B102" s="63" t="s">
        <v>1268</v>
      </c>
      <c r="C102" s="79" t="s">
        <v>8384</v>
      </c>
    </row>
    <row r="103" spans="1:3" ht="31.5" x14ac:dyDescent="0.25">
      <c r="A103" s="62" t="s">
        <v>1269</v>
      </c>
      <c r="B103" s="63" t="s">
        <v>1270</v>
      </c>
      <c r="C103" s="79" t="s">
        <v>8385</v>
      </c>
    </row>
    <row r="104" spans="1:3" ht="31.5" x14ac:dyDescent="0.25">
      <c r="A104" s="62" t="s">
        <v>1271</v>
      </c>
      <c r="B104" s="63" t="s">
        <v>1272</v>
      </c>
      <c r="C104" s="79" t="s">
        <v>8386</v>
      </c>
    </row>
    <row r="105" spans="1:3" ht="31.5" x14ac:dyDescent="0.25">
      <c r="A105" s="62" t="s">
        <v>1273</v>
      </c>
      <c r="B105" s="63" t="s">
        <v>1274</v>
      </c>
      <c r="C105" s="79" t="s">
        <v>8387</v>
      </c>
    </row>
    <row r="106" spans="1:3" ht="18" x14ac:dyDescent="0.25">
      <c r="A106" s="182"/>
      <c r="B106" s="182" t="s">
        <v>8388</v>
      </c>
      <c r="C106" s="183"/>
    </row>
    <row r="107" spans="1:3" x14ac:dyDescent="0.25">
      <c r="A107" s="62" t="s">
        <v>1275</v>
      </c>
      <c r="B107" s="63" t="s">
        <v>1276</v>
      </c>
      <c r="C107" s="79" t="s">
        <v>8389</v>
      </c>
    </row>
    <row r="108" spans="1:3" ht="18" x14ac:dyDescent="0.25">
      <c r="A108" s="182"/>
      <c r="B108" s="182" t="s">
        <v>8390</v>
      </c>
      <c r="C108" s="183"/>
    </row>
    <row r="109" spans="1:3" ht="31.5" x14ac:dyDescent="0.25">
      <c r="A109" s="62" t="s">
        <v>1277</v>
      </c>
      <c r="B109" s="63" t="s">
        <v>1278</v>
      </c>
      <c r="C109" s="79" t="s">
        <v>8391</v>
      </c>
    </row>
    <row r="110" spans="1:3" ht="31.5" x14ac:dyDescent="0.25">
      <c r="A110" s="62" t="s">
        <v>1279</v>
      </c>
      <c r="B110" s="63" t="s">
        <v>1280</v>
      </c>
      <c r="C110" s="79" t="s">
        <v>8391</v>
      </c>
    </row>
    <row r="111" spans="1:3" ht="31.5" x14ac:dyDescent="0.25">
      <c r="A111" s="62" t="s">
        <v>1281</v>
      </c>
      <c r="B111" s="63" t="s">
        <v>1282</v>
      </c>
      <c r="C111" s="79" t="s">
        <v>8391</v>
      </c>
    </row>
    <row r="112" spans="1:3" ht="31.5" x14ac:dyDescent="0.25">
      <c r="A112" s="62" t="s">
        <v>1283</v>
      </c>
      <c r="B112" s="63" t="s">
        <v>1284</v>
      </c>
      <c r="C112" s="79" t="s">
        <v>8391</v>
      </c>
    </row>
    <row r="113" spans="1:3" ht="31.5" x14ac:dyDescent="0.25">
      <c r="A113" s="62" t="s">
        <v>1285</v>
      </c>
      <c r="B113" s="63" t="s">
        <v>1286</v>
      </c>
      <c r="C113" s="79" t="s">
        <v>8391</v>
      </c>
    </row>
    <row r="114" spans="1:3" ht="31.5" x14ac:dyDescent="0.25">
      <c r="A114" s="62" t="s">
        <v>1287</v>
      </c>
      <c r="B114" s="63" t="s">
        <v>1288</v>
      </c>
      <c r="C114" s="79" t="s">
        <v>8391</v>
      </c>
    </row>
    <row r="115" spans="1:3" ht="31.5" x14ac:dyDescent="0.25">
      <c r="A115" s="62" t="s">
        <v>1289</v>
      </c>
      <c r="B115" s="63" t="s">
        <v>1290</v>
      </c>
      <c r="C115" s="79" t="s">
        <v>8391</v>
      </c>
    </row>
    <row r="116" spans="1:3" ht="31.5" x14ac:dyDescent="0.25">
      <c r="A116" s="62" t="s">
        <v>1291</v>
      </c>
      <c r="B116" s="63" t="s">
        <v>1292</v>
      </c>
      <c r="C116" s="79" t="s">
        <v>8391</v>
      </c>
    </row>
    <row r="117" spans="1:3" ht="31.5" x14ac:dyDescent="0.25">
      <c r="A117" s="62" t="s">
        <v>1293</v>
      </c>
      <c r="B117" s="63" t="s">
        <v>1294</v>
      </c>
      <c r="C117" s="79" t="s">
        <v>8391</v>
      </c>
    </row>
    <row r="118" spans="1:3" ht="31.5" x14ac:dyDescent="0.25">
      <c r="A118" s="62" t="s">
        <v>1295</v>
      </c>
      <c r="B118" s="63" t="s">
        <v>1296</v>
      </c>
      <c r="C118" s="79" t="s">
        <v>8391</v>
      </c>
    </row>
    <row r="119" spans="1:3" ht="31.5" x14ac:dyDescent="0.25">
      <c r="A119" s="62" t="s">
        <v>1297</v>
      </c>
      <c r="B119" s="63" t="s">
        <v>1298</v>
      </c>
      <c r="C119" s="79" t="s">
        <v>8391</v>
      </c>
    </row>
    <row r="120" spans="1:3" ht="31.5" x14ac:dyDescent="0.25">
      <c r="A120" s="62" t="s">
        <v>1299</v>
      </c>
      <c r="B120" s="63" t="s">
        <v>1300</v>
      </c>
      <c r="C120" s="79" t="s">
        <v>8391</v>
      </c>
    </row>
    <row r="121" spans="1:3" ht="31.5" x14ac:dyDescent="0.25">
      <c r="A121" s="62" t="s">
        <v>1301</v>
      </c>
      <c r="B121" s="63" t="s">
        <v>1302</v>
      </c>
      <c r="C121" s="79" t="s">
        <v>8391</v>
      </c>
    </row>
    <row r="122" spans="1:3" ht="31.5" x14ac:dyDescent="0.25">
      <c r="A122" s="62" t="s">
        <v>1303</v>
      </c>
      <c r="B122" s="63" t="s">
        <v>1304</v>
      </c>
      <c r="C122" s="79" t="s">
        <v>8391</v>
      </c>
    </row>
    <row r="123" spans="1:3" ht="18" x14ac:dyDescent="0.25">
      <c r="A123" s="182"/>
      <c r="B123" s="182" t="s">
        <v>8392</v>
      </c>
      <c r="C123" s="183"/>
    </row>
    <row r="124" spans="1:3" ht="31.5" x14ac:dyDescent="0.25">
      <c r="A124" s="62" t="s">
        <v>1305</v>
      </c>
      <c r="B124" s="63" t="s">
        <v>1306</v>
      </c>
      <c r="C124" s="79" t="s">
        <v>8393</v>
      </c>
    </row>
    <row r="125" spans="1:3" ht="18" x14ac:dyDescent="0.25">
      <c r="A125" s="182"/>
      <c r="B125" s="182" t="s">
        <v>8394</v>
      </c>
      <c r="C125" s="183"/>
    </row>
    <row r="126" spans="1:3" x14ac:dyDescent="0.25">
      <c r="A126" s="62" t="s">
        <v>1307</v>
      </c>
      <c r="B126" s="63" t="s">
        <v>1308</v>
      </c>
      <c r="C126" s="79" t="s">
        <v>8395</v>
      </c>
    </row>
    <row r="127" spans="1:3" x14ac:dyDescent="0.25">
      <c r="A127" s="62" t="s">
        <v>1309</v>
      </c>
      <c r="B127" s="63" t="s">
        <v>1310</v>
      </c>
      <c r="C127" s="79" t="s">
        <v>8395</v>
      </c>
    </row>
    <row r="128" spans="1:3" x14ac:dyDescent="0.25">
      <c r="A128" s="62" t="s">
        <v>1311</v>
      </c>
      <c r="B128" s="63" t="s">
        <v>1312</v>
      </c>
      <c r="C128" s="79" t="s">
        <v>8395</v>
      </c>
    </row>
    <row r="129" spans="1:3" x14ac:dyDescent="0.25">
      <c r="A129" s="62" t="s">
        <v>1313</v>
      </c>
      <c r="B129" s="63" t="s">
        <v>1314</v>
      </c>
      <c r="C129" s="79" t="s">
        <v>8395</v>
      </c>
    </row>
    <row r="130" spans="1:3" x14ac:dyDescent="0.25">
      <c r="A130" s="62" t="s">
        <v>1315</v>
      </c>
      <c r="B130" s="63" t="s">
        <v>1316</v>
      </c>
      <c r="C130" s="79" t="s">
        <v>8395</v>
      </c>
    </row>
    <row r="131" spans="1:3" x14ac:dyDescent="0.25">
      <c r="A131" s="62" t="s">
        <v>1317</v>
      </c>
      <c r="B131" s="63" t="s">
        <v>1318</v>
      </c>
      <c r="C131" s="79" t="s">
        <v>8395</v>
      </c>
    </row>
    <row r="132" spans="1:3" x14ac:dyDescent="0.25">
      <c r="A132" s="62" t="s">
        <v>1319</v>
      </c>
      <c r="B132" s="63" t="s">
        <v>1320</v>
      </c>
      <c r="C132" s="79" t="s">
        <v>8395</v>
      </c>
    </row>
    <row r="133" spans="1:3" x14ac:dyDescent="0.25">
      <c r="A133" s="62" t="s">
        <v>1321</v>
      </c>
      <c r="B133" s="63" t="s">
        <v>1322</v>
      </c>
      <c r="C133" s="79" t="s">
        <v>8395</v>
      </c>
    </row>
    <row r="134" spans="1:3" x14ac:dyDescent="0.25">
      <c r="A134" s="62" t="s">
        <v>1323</v>
      </c>
      <c r="B134" s="63" t="s">
        <v>1324</v>
      </c>
      <c r="C134" s="79" t="s">
        <v>8395</v>
      </c>
    </row>
    <row r="135" spans="1:3" x14ac:dyDescent="0.25">
      <c r="A135" s="62" t="s">
        <v>1325</v>
      </c>
      <c r="B135" s="63" t="s">
        <v>1326</v>
      </c>
      <c r="C135" s="79" t="s">
        <v>8395</v>
      </c>
    </row>
    <row r="136" spans="1:3" x14ac:dyDescent="0.25">
      <c r="A136" s="62" t="s">
        <v>1327</v>
      </c>
      <c r="B136" s="63" t="s">
        <v>1328</v>
      </c>
      <c r="C136" s="79" t="s">
        <v>8395</v>
      </c>
    </row>
    <row r="137" spans="1:3" x14ac:dyDescent="0.25">
      <c r="A137" s="62" t="s">
        <v>1329</v>
      </c>
      <c r="B137" s="63" t="s">
        <v>1330</v>
      </c>
      <c r="C137" s="79" t="s">
        <v>8395</v>
      </c>
    </row>
    <row r="138" spans="1:3" x14ac:dyDescent="0.25">
      <c r="A138" s="62" t="s">
        <v>1331</v>
      </c>
      <c r="B138" s="63" t="s">
        <v>1332</v>
      </c>
      <c r="C138" s="79" t="s">
        <v>8396</v>
      </c>
    </row>
    <row r="139" spans="1:3" x14ac:dyDescent="0.25">
      <c r="A139" s="62" t="s">
        <v>1333</v>
      </c>
      <c r="B139" s="63" t="s">
        <v>1334</v>
      </c>
      <c r="C139" s="79" t="s">
        <v>8396</v>
      </c>
    </row>
    <row r="140" spans="1:3" x14ac:dyDescent="0.25">
      <c r="A140" s="62" t="s">
        <v>1335</v>
      </c>
      <c r="B140" s="63" t="s">
        <v>1336</v>
      </c>
      <c r="C140" s="79" t="s">
        <v>8396</v>
      </c>
    </row>
    <row r="141" spans="1:3" x14ac:dyDescent="0.25">
      <c r="A141" s="62" t="s">
        <v>1337</v>
      </c>
      <c r="B141" s="63" t="s">
        <v>1338</v>
      </c>
      <c r="C141" s="79" t="s">
        <v>8396</v>
      </c>
    </row>
    <row r="142" spans="1:3" x14ac:dyDescent="0.25">
      <c r="A142" s="62" t="s">
        <v>1339</v>
      </c>
      <c r="B142" s="63" t="s">
        <v>1340</v>
      </c>
      <c r="C142" s="79" t="s">
        <v>8396</v>
      </c>
    </row>
    <row r="143" spans="1:3" x14ac:dyDescent="0.25">
      <c r="A143" s="62" t="s">
        <v>1341</v>
      </c>
      <c r="B143" s="63" t="s">
        <v>1342</v>
      </c>
      <c r="C143" s="79" t="s">
        <v>8396</v>
      </c>
    </row>
    <row r="144" spans="1:3" x14ac:dyDescent="0.25">
      <c r="A144" s="62" t="s">
        <v>1343</v>
      </c>
      <c r="B144" s="63" t="s">
        <v>1344</v>
      </c>
      <c r="C144" s="79" t="s">
        <v>8396</v>
      </c>
    </row>
    <row r="145" spans="1:3" x14ac:dyDescent="0.25">
      <c r="A145" s="62" t="s">
        <v>1345</v>
      </c>
      <c r="B145" s="63" t="s">
        <v>1346</v>
      </c>
      <c r="C145" s="79" t="s">
        <v>8396</v>
      </c>
    </row>
    <row r="146" spans="1:3" x14ac:dyDescent="0.25">
      <c r="A146" s="62" t="s">
        <v>1347</v>
      </c>
      <c r="B146" s="63" t="s">
        <v>1348</v>
      </c>
      <c r="C146" s="79" t="s">
        <v>8396</v>
      </c>
    </row>
    <row r="147" spans="1:3" x14ac:dyDescent="0.25">
      <c r="A147" s="62" t="s">
        <v>1349</v>
      </c>
      <c r="B147" s="63" t="s">
        <v>1350</v>
      </c>
      <c r="C147" s="79" t="s">
        <v>8396</v>
      </c>
    </row>
    <row r="148" spans="1:3" x14ac:dyDescent="0.25">
      <c r="A148" s="62" t="s">
        <v>1351</v>
      </c>
      <c r="B148" s="63" t="s">
        <v>1352</v>
      </c>
      <c r="C148" s="79" t="s">
        <v>8396</v>
      </c>
    </row>
    <row r="149" spans="1:3" x14ac:dyDescent="0.25">
      <c r="A149" s="62" t="s">
        <v>1353</v>
      </c>
      <c r="B149" s="63" t="s">
        <v>1354</v>
      </c>
      <c r="C149" s="79" t="s">
        <v>8396</v>
      </c>
    </row>
    <row r="150" spans="1:3" x14ac:dyDescent="0.25">
      <c r="A150" s="62" t="s">
        <v>1355</v>
      </c>
      <c r="B150" s="63" t="s">
        <v>1356</v>
      </c>
      <c r="C150" s="79" t="s">
        <v>8397</v>
      </c>
    </row>
    <row r="151" spans="1:3" x14ac:dyDescent="0.25">
      <c r="A151" s="62" t="s">
        <v>1357</v>
      </c>
      <c r="B151" s="63" t="s">
        <v>1358</v>
      </c>
      <c r="C151" s="79" t="s">
        <v>8397</v>
      </c>
    </row>
    <row r="152" spans="1:3" x14ac:dyDescent="0.25">
      <c r="A152" s="62" t="s">
        <v>1359</v>
      </c>
      <c r="B152" s="63" t="s">
        <v>1360</v>
      </c>
      <c r="C152" s="79" t="s">
        <v>8397</v>
      </c>
    </row>
    <row r="153" spans="1:3" x14ac:dyDescent="0.25">
      <c r="A153" s="62" t="s">
        <v>1361</v>
      </c>
      <c r="B153" s="63" t="s">
        <v>1362</v>
      </c>
      <c r="C153" s="79" t="s">
        <v>8397</v>
      </c>
    </row>
    <row r="154" spans="1:3" x14ac:dyDescent="0.25">
      <c r="A154" s="62" t="s">
        <v>1363</v>
      </c>
      <c r="B154" s="63" t="s">
        <v>1364</v>
      </c>
      <c r="C154" s="79" t="s">
        <v>8397</v>
      </c>
    </row>
    <row r="155" spans="1:3" x14ac:dyDescent="0.25">
      <c r="A155" s="62" t="s">
        <v>1365</v>
      </c>
      <c r="B155" s="63" t="s">
        <v>1366</v>
      </c>
      <c r="C155" s="79" t="s">
        <v>8397</v>
      </c>
    </row>
    <row r="156" spans="1:3" x14ac:dyDescent="0.25">
      <c r="A156" s="62" t="s">
        <v>1367</v>
      </c>
      <c r="B156" s="63" t="s">
        <v>1368</v>
      </c>
      <c r="C156" s="79" t="s">
        <v>8397</v>
      </c>
    </row>
    <row r="157" spans="1:3" x14ac:dyDescent="0.25">
      <c r="A157" s="62" t="s">
        <v>1369</v>
      </c>
      <c r="B157" s="63" t="s">
        <v>1370</v>
      </c>
      <c r="C157" s="79" t="s">
        <v>8397</v>
      </c>
    </row>
    <row r="158" spans="1:3" x14ac:dyDescent="0.25">
      <c r="A158" s="62" t="s">
        <v>1371</v>
      </c>
      <c r="B158" s="63" t="s">
        <v>1372</v>
      </c>
      <c r="C158" s="79" t="s">
        <v>8397</v>
      </c>
    </row>
    <row r="159" spans="1:3" x14ac:dyDescent="0.25">
      <c r="A159" s="62" t="s">
        <v>1373</v>
      </c>
      <c r="B159" s="63" t="s">
        <v>1374</v>
      </c>
      <c r="C159" s="79" t="s">
        <v>8397</v>
      </c>
    </row>
    <row r="160" spans="1:3" x14ac:dyDescent="0.25">
      <c r="A160" s="62" t="s">
        <v>1375</v>
      </c>
      <c r="B160" s="63" t="s">
        <v>1376</v>
      </c>
      <c r="C160" s="79" t="s">
        <v>8397</v>
      </c>
    </row>
    <row r="161" spans="1:3" x14ac:dyDescent="0.25">
      <c r="A161" s="62" t="s">
        <v>1377</v>
      </c>
      <c r="B161" s="63" t="s">
        <v>1378</v>
      </c>
      <c r="C161" s="79" t="s">
        <v>8397</v>
      </c>
    </row>
    <row r="162" spans="1:3" ht="31.5" x14ac:dyDescent="0.25">
      <c r="A162" s="62" t="s">
        <v>1379</v>
      </c>
      <c r="B162" s="63" t="s">
        <v>1380</v>
      </c>
      <c r="C162" s="79" t="s">
        <v>8397</v>
      </c>
    </row>
    <row r="163" spans="1:3" ht="31.5" x14ac:dyDescent="0.25">
      <c r="A163" s="62" t="s">
        <v>1381</v>
      </c>
      <c r="B163" s="63" t="s">
        <v>1382</v>
      </c>
      <c r="C163" s="79" t="s">
        <v>8397</v>
      </c>
    </row>
    <row r="164" spans="1:3" ht="31.5" x14ac:dyDescent="0.25">
      <c r="A164" s="62" t="s">
        <v>1383</v>
      </c>
      <c r="B164" s="63" t="s">
        <v>1384</v>
      </c>
      <c r="C164" s="79" t="s">
        <v>8397</v>
      </c>
    </row>
    <row r="165" spans="1:3" ht="31.5" x14ac:dyDescent="0.25">
      <c r="A165" s="62" t="s">
        <v>1385</v>
      </c>
      <c r="B165" s="63" t="s">
        <v>1386</v>
      </c>
      <c r="C165" s="79" t="s">
        <v>8397</v>
      </c>
    </row>
    <row r="166" spans="1:3" ht="31.5" x14ac:dyDescent="0.25">
      <c r="A166" s="62" t="s">
        <v>1387</v>
      </c>
      <c r="B166" s="63" t="s">
        <v>1388</v>
      </c>
      <c r="C166" s="79" t="s">
        <v>8397</v>
      </c>
    </row>
    <row r="167" spans="1:3" ht="31.5" x14ac:dyDescent="0.25">
      <c r="A167" s="62" t="s">
        <v>1389</v>
      </c>
      <c r="B167" s="63" t="s">
        <v>1390</v>
      </c>
      <c r="C167" s="79" t="s">
        <v>8397</v>
      </c>
    </row>
    <row r="168" spans="1:3" x14ac:dyDescent="0.25">
      <c r="A168" s="62" t="s">
        <v>1391</v>
      </c>
      <c r="B168" s="63" t="s">
        <v>1392</v>
      </c>
      <c r="C168" s="79" t="s">
        <v>8398</v>
      </c>
    </row>
    <row r="169" spans="1:3" x14ac:dyDescent="0.25">
      <c r="A169" s="62" t="s">
        <v>1393</v>
      </c>
      <c r="B169" s="63" t="s">
        <v>1394</v>
      </c>
      <c r="C169" s="79" t="s">
        <v>8398</v>
      </c>
    </row>
    <row r="170" spans="1:3" x14ac:dyDescent="0.25">
      <c r="A170" s="62" t="s">
        <v>1395</v>
      </c>
      <c r="B170" s="63" t="s">
        <v>1396</v>
      </c>
      <c r="C170" s="79" t="s">
        <v>8398</v>
      </c>
    </row>
    <row r="171" spans="1:3" x14ac:dyDescent="0.25">
      <c r="A171" s="62" t="s">
        <v>1397</v>
      </c>
      <c r="B171" s="63" t="s">
        <v>1398</v>
      </c>
      <c r="C171" s="79" t="s">
        <v>8398</v>
      </c>
    </row>
    <row r="172" spans="1:3" x14ac:dyDescent="0.25">
      <c r="A172" s="62" t="s">
        <v>1399</v>
      </c>
      <c r="B172" s="63" t="s">
        <v>1400</v>
      </c>
      <c r="C172" s="79" t="s">
        <v>8398</v>
      </c>
    </row>
    <row r="173" spans="1:3" x14ac:dyDescent="0.25">
      <c r="A173" s="62" t="s">
        <v>1401</v>
      </c>
      <c r="B173" s="63" t="s">
        <v>1402</v>
      </c>
      <c r="C173" s="79" t="s">
        <v>8398</v>
      </c>
    </row>
    <row r="174" spans="1:3" x14ac:dyDescent="0.25">
      <c r="A174" s="62" t="s">
        <v>1403</v>
      </c>
      <c r="B174" s="63" t="s">
        <v>1404</v>
      </c>
      <c r="C174" s="79" t="s">
        <v>8398</v>
      </c>
    </row>
    <row r="175" spans="1:3" x14ac:dyDescent="0.25">
      <c r="A175" s="62" t="s">
        <v>1405</v>
      </c>
      <c r="B175" s="63" t="s">
        <v>1406</v>
      </c>
      <c r="C175" s="79" t="s">
        <v>8398</v>
      </c>
    </row>
    <row r="176" spans="1:3" x14ac:dyDescent="0.25">
      <c r="A176" s="62" t="s">
        <v>1407</v>
      </c>
      <c r="B176" s="63" t="s">
        <v>1408</v>
      </c>
      <c r="C176" s="79" t="s">
        <v>8398</v>
      </c>
    </row>
    <row r="177" spans="1:3" x14ac:dyDescent="0.25">
      <c r="A177" s="62" t="s">
        <v>1409</v>
      </c>
      <c r="B177" s="63" t="s">
        <v>1410</v>
      </c>
      <c r="C177" s="79" t="s">
        <v>8398</v>
      </c>
    </row>
    <row r="178" spans="1:3" x14ac:dyDescent="0.25">
      <c r="A178" s="62" t="s">
        <v>1411</v>
      </c>
      <c r="B178" s="63" t="s">
        <v>1412</v>
      </c>
      <c r="C178" s="79" t="s">
        <v>8398</v>
      </c>
    </row>
    <row r="179" spans="1:3" ht="31.5" x14ac:dyDescent="0.25">
      <c r="A179" s="62" t="s">
        <v>1413</v>
      </c>
      <c r="B179" s="63" t="s">
        <v>1414</v>
      </c>
      <c r="C179" s="79" t="s">
        <v>8398</v>
      </c>
    </row>
    <row r="180" spans="1:3" ht="31.5" x14ac:dyDescent="0.25">
      <c r="A180" s="62" t="s">
        <v>1415</v>
      </c>
      <c r="B180" s="63" t="s">
        <v>1416</v>
      </c>
      <c r="C180" s="79" t="s">
        <v>8398</v>
      </c>
    </row>
    <row r="181" spans="1:3" ht="31.5" x14ac:dyDescent="0.25">
      <c r="A181" s="62" t="s">
        <v>1417</v>
      </c>
      <c r="B181" s="63" t="s">
        <v>1418</v>
      </c>
      <c r="C181" s="79" t="s">
        <v>8398</v>
      </c>
    </row>
    <row r="182" spans="1:3" ht="31.5" x14ac:dyDescent="0.25">
      <c r="A182" s="62" t="s">
        <v>1419</v>
      </c>
      <c r="B182" s="63" t="s">
        <v>1420</v>
      </c>
      <c r="C182" s="79" t="s">
        <v>8398</v>
      </c>
    </row>
    <row r="183" spans="1:3" ht="31.5" x14ac:dyDescent="0.25">
      <c r="A183" s="62" t="s">
        <v>1421</v>
      </c>
      <c r="B183" s="63" t="s">
        <v>1422</v>
      </c>
      <c r="C183" s="79" t="s">
        <v>8398</v>
      </c>
    </row>
    <row r="184" spans="1:3" ht="31.5" x14ac:dyDescent="0.25">
      <c r="A184" s="62" t="s">
        <v>1423</v>
      </c>
      <c r="B184" s="63" t="s">
        <v>1424</v>
      </c>
      <c r="C184" s="79" t="s">
        <v>8398</v>
      </c>
    </row>
    <row r="185" spans="1:3" ht="31.5" x14ac:dyDescent="0.25">
      <c r="A185" s="62" t="s">
        <v>1425</v>
      </c>
      <c r="B185" s="63" t="s">
        <v>1426</v>
      </c>
      <c r="C185" s="79" t="s">
        <v>8398</v>
      </c>
    </row>
    <row r="186" spans="1:3" ht="31.5" x14ac:dyDescent="0.25">
      <c r="A186" s="62" t="s">
        <v>1427</v>
      </c>
      <c r="B186" s="63" t="s">
        <v>1428</v>
      </c>
      <c r="C186" s="79" t="s">
        <v>8398</v>
      </c>
    </row>
    <row r="187" spans="1:3" ht="18" x14ac:dyDescent="0.25">
      <c r="A187" s="182"/>
      <c r="B187" s="182" t="s">
        <v>8399</v>
      </c>
      <c r="C187" s="183"/>
    </row>
    <row r="188" spans="1:3" x14ac:dyDescent="0.25">
      <c r="A188" s="62" t="s">
        <v>1429</v>
      </c>
      <c r="B188" s="63" t="s">
        <v>1430</v>
      </c>
      <c r="C188" s="79" t="s">
        <v>8400</v>
      </c>
    </row>
    <row r="189" spans="1:3" x14ac:dyDescent="0.25">
      <c r="A189" s="62" t="s">
        <v>1431</v>
      </c>
      <c r="B189" s="63" t="s">
        <v>1432</v>
      </c>
      <c r="C189" s="79" t="s">
        <v>8400</v>
      </c>
    </row>
    <row r="190" spans="1:3" x14ac:dyDescent="0.25">
      <c r="A190" s="62" t="s">
        <v>1433</v>
      </c>
      <c r="B190" s="63" t="s">
        <v>1434</v>
      </c>
      <c r="C190" s="79" t="s">
        <v>8400</v>
      </c>
    </row>
    <row r="191" spans="1:3" x14ac:dyDescent="0.25">
      <c r="A191" s="62" t="s">
        <v>1435</v>
      </c>
      <c r="B191" s="63" t="s">
        <v>1436</v>
      </c>
      <c r="C191" s="79" t="s">
        <v>8400</v>
      </c>
    </row>
    <row r="192" spans="1:3" x14ac:dyDescent="0.25">
      <c r="A192" s="62" t="s">
        <v>1437</v>
      </c>
      <c r="B192" s="63" t="s">
        <v>1438</v>
      </c>
      <c r="C192" s="79" t="s">
        <v>8400</v>
      </c>
    </row>
    <row r="193" spans="1:3" x14ac:dyDescent="0.25">
      <c r="A193" s="62" t="s">
        <v>1439</v>
      </c>
      <c r="B193" s="63" t="s">
        <v>1440</v>
      </c>
      <c r="C193" s="79" t="s">
        <v>8400</v>
      </c>
    </row>
    <row r="194" spans="1:3" x14ac:dyDescent="0.25">
      <c r="A194" s="62" t="s">
        <v>1441</v>
      </c>
      <c r="B194" s="63" t="s">
        <v>1442</v>
      </c>
      <c r="C194" s="79" t="s">
        <v>8400</v>
      </c>
    </row>
    <row r="195" spans="1:3" x14ac:dyDescent="0.25">
      <c r="A195" s="62" t="s">
        <v>1443</v>
      </c>
      <c r="B195" s="63" t="s">
        <v>1444</v>
      </c>
      <c r="C195" s="79" t="s">
        <v>8400</v>
      </c>
    </row>
    <row r="196" spans="1:3" x14ac:dyDescent="0.25">
      <c r="A196" s="62" t="s">
        <v>1445</v>
      </c>
      <c r="B196" s="63" t="s">
        <v>1446</v>
      </c>
      <c r="C196" s="79" t="s">
        <v>8400</v>
      </c>
    </row>
    <row r="197" spans="1:3" x14ac:dyDescent="0.25">
      <c r="A197" s="62" t="s">
        <v>1447</v>
      </c>
      <c r="B197" s="63" t="s">
        <v>1448</v>
      </c>
      <c r="C197" s="79" t="s">
        <v>8400</v>
      </c>
    </row>
    <row r="198" spans="1:3" x14ac:dyDescent="0.25">
      <c r="A198" s="62" t="s">
        <v>1449</v>
      </c>
      <c r="B198" s="63" t="s">
        <v>1450</v>
      </c>
      <c r="C198" s="79" t="s">
        <v>8400</v>
      </c>
    </row>
    <row r="199" spans="1:3" x14ac:dyDescent="0.25">
      <c r="A199" s="62" t="s">
        <v>1451</v>
      </c>
      <c r="B199" s="63" t="s">
        <v>1452</v>
      </c>
      <c r="C199" s="79" t="s">
        <v>8400</v>
      </c>
    </row>
    <row r="200" spans="1:3" x14ac:dyDescent="0.25">
      <c r="A200" s="62" t="s">
        <v>1453</v>
      </c>
      <c r="B200" s="63" t="s">
        <v>1454</v>
      </c>
      <c r="C200" s="79" t="s">
        <v>8401</v>
      </c>
    </row>
    <row r="201" spans="1:3" x14ac:dyDescent="0.25">
      <c r="A201" s="62" t="s">
        <v>1455</v>
      </c>
      <c r="B201" s="63" t="s">
        <v>1456</v>
      </c>
      <c r="C201" s="79" t="s">
        <v>8401</v>
      </c>
    </row>
    <row r="202" spans="1:3" x14ac:dyDescent="0.25">
      <c r="A202" s="62" t="s">
        <v>1457</v>
      </c>
      <c r="B202" s="63" t="s">
        <v>1458</v>
      </c>
      <c r="C202" s="79" t="s">
        <v>8401</v>
      </c>
    </row>
    <row r="203" spans="1:3" x14ac:dyDescent="0.25">
      <c r="A203" s="62" t="s">
        <v>1459</v>
      </c>
      <c r="B203" s="63" t="s">
        <v>1460</v>
      </c>
      <c r="C203" s="79" t="s">
        <v>8401</v>
      </c>
    </row>
    <row r="204" spans="1:3" x14ac:dyDescent="0.25">
      <c r="A204" s="62" t="s">
        <v>1461</v>
      </c>
      <c r="B204" s="63" t="s">
        <v>1462</v>
      </c>
      <c r="C204" s="79" t="s">
        <v>8401</v>
      </c>
    </row>
    <row r="205" spans="1:3" x14ac:dyDescent="0.25">
      <c r="A205" s="62" t="s">
        <v>1463</v>
      </c>
      <c r="B205" s="63" t="s">
        <v>1464</v>
      </c>
      <c r="C205" s="79" t="s">
        <v>8401</v>
      </c>
    </row>
    <row r="206" spans="1:3" x14ac:dyDescent="0.25">
      <c r="A206" s="62" t="s">
        <v>1465</v>
      </c>
      <c r="B206" s="63" t="s">
        <v>1466</v>
      </c>
      <c r="C206" s="79" t="s">
        <v>8401</v>
      </c>
    </row>
    <row r="207" spans="1:3" x14ac:dyDescent="0.25">
      <c r="A207" s="62" t="s">
        <v>1467</v>
      </c>
      <c r="B207" s="63" t="s">
        <v>1468</v>
      </c>
      <c r="C207" s="79" t="s">
        <v>8401</v>
      </c>
    </row>
    <row r="208" spans="1:3" x14ac:dyDescent="0.25">
      <c r="A208" s="62" t="s">
        <v>1469</v>
      </c>
      <c r="B208" s="63" t="s">
        <v>1470</v>
      </c>
      <c r="C208" s="79" t="s">
        <v>8401</v>
      </c>
    </row>
    <row r="209" spans="1:3" x14ac:dyDescent="0.25">
      <c r="A209" s="62" t="s">
        <v>1471</v>
      </c>
      <c r="B209" s="63" t="s">
        <v>1472</v>
      </c>
      <c r="C209" s="79" t="s">
        <v>8401</v>
      </c>
    </row>
    <row r="210" spans="1:3" x14ac:dyDescent="0.25">
      <c r="A210" s="62" t="s">
        <v>1473</v>
      </c>
      <c r="B210" s="63" t="s">
        <v>1474</v>
      </c>
      <c r="C210" s="79" t="s">
        <v>8401</v>
      </c>
    </row>
    <row r="211" spans="1:3" x14ac:dyDescent="0.25">
      <c r="A211" s="62" t="s">
        <v>1475</v>
      </c>
      <c r="B211" s="63" t="s">
        <v>1476</v>
      </c>
      <c r="C211" s="79" t="s">
        <v>8401</v>
      </c>
    </row>
    <row r="212" spans="1:3" ht="31.5" x14ac:dyDescent="0.25">
      <c r="A212" s="62" t="s">
        <v>1477</v>
      </c>
      <c r="B212" s="63" t="s">
        <v>1478</v>
      </c>
      <c r="C212" s="79" t="s">
        <v>8401</v>
      </c>
    </row>
    <row r="213" spans="1:3" ht="31.5" x14ac:dyDescent="0.25">
      <c r="A213" s="62" t="s">
        <v>1479</v>
      </c>
      <c r="B213" s="63" t="s">
        <v>1480</v>
      </c>
      <c r="C213" s="79" t="s">
        <v>8401</v>
      </c>
    </row>
    <row r="214" spans="1:3" ht="31.5" x14ac:dyDescent="0.25">
      <c r="A214" s="62" t="s">
        <v>1481</v>
      </c>
      <c r="B214" s="63" t="s">
        <v>1482</v>
      </c>
      <c r="C214" s="79" t="s">
        <v>8401</v>
      </c>
    </row>
    <row r="215" spans="1:3" ht="31.5" x14ac:dyDescent="0.25">
      <c r="A215" s="62" t="s">
        <v>1483</v>
      </c>
      <c r="B215" s="63" t="s">
        <v>1484</v>
      </c>
      <c r="C215" s="79" t="s">
        <v>8401</v>
      </c>
    </row>
    <row r="216" spans="1:3" ht="31.5" x14ac:dyDescent="0.25">
      <c r="A216" s="62" t="s">
        <v>1485</v>
      </c>
      <c r="B216" s="63" t="s">
        <v>1486</v>
      </c>
      <c r="C216" s="79" t="s">
        <v>8401</v>
      </c>
    </row>
    <row r="217" spans="1:3" ht="31.5" x14ac:dyDescent="0.25">
      <c r="A217" s="62" t="s">
        <v>1487</v>
      </c>
      <c r="B217" s="63" t="s">
        <v>1488</v>
      </c>
      <c r="C217" s="79" t="s">
        <v>8401</v>
      </c>
    </row>
    <row r="218" spans="1:3" ht="31.5" x14ac:dyDescent="0.25">
      <c r="A218" s="62" t="s">
        <v>1489</v>
      </c>
      <c r="B218" s="63" t="s">
        <v>1490</v>
      </c>
      <c r="C218" s="79" t="s">
        <v>8401</v>
      </c>
    </row>
    <row r="219" spans="1:3" ht="31.5" x14ac:dyDescent="0.25">
      <c r="A219" s="62" t="s">
        <v>1491</v>
      </c>
      <c r="B219" s="63" t="s">
        <v>1492</v>
      </c>
      <c r="C219" s="79" t="s">
        <v>8401</v>
      </c>
    </row>
    <row r="220" spans="1:3" ht="31.5" x14ac:dyDescent="0.25">
      <c r="A220" s="62" t="s">
        <v>1493</v>
      </c>
      <c r="B220" s="63" t="s">
        <v>1494</v>
      </c>
      <c r="C220" s="79" t="s">
        <v>8401</v>
      </c>
    </row>
    <row r="221" spans="1:3" ht="31.5" x14ac:dyDescent="0.25">
      <c r="A221" s="62" t="s">
        <v>1495</v>
      </c>
      <c r="B221" s="63" t="s">
        <v>1496</v>
      </c>
      <c r="C221" s="79" t="s">
        <v>8401</v>
      </c>
    </row>
    <row r="222" spans="1:3" ht="31.5" x14ac:dyDescent="0.25">
      <c r="A222" s="62" t="s">
        <v>1497</v>
      </c>
      <c r="B222" s="63" t="s">
        <v>1498</v>
      </c>
      <c r="C222" s="79" t="s">
        <v>8401</v>
      </c>
    </row>
    <row r="223" spans="1:3" ht="31.5" x14ac:dyDescent="0.25">
      <c r="A223" s="62" t="s">
        <v>1499</v>
      </c>
      <c r="B223" s="63" t="s">
        <v>1500</v>
      </c>
      <c r="C223" s="79" t="s">
        <v>8401</v>
      </c>
    </row>
    <row r="224" spans="1:3" x14ac:dyDescent="0.25">
      <c r="A224" s="62" t="s">
        <v>1501</v>
      </c>
      <c r="B224" s="63" t="s">
        <v>1502</v>
      </c>
      <c r="C224" s="79" t="s">
        <v>8402</v>
      </c>
    </row>
    <row r="225" spans="1:3" x14ac:dyDescent="0.25">
      <c r="A225" s="62" t="s">
        <v>1503</v>
      </c>
      <c r="B225" s="63" t="s">
        <v>1504</v>
      </c>
      <c r="C225" s="79" t="s">
        <v>8402</v>
      </c>
    </row>
    <row r="226" spans="1:3" x14ac:dyDescent="0.25">
      <c r="A226" s="62" t="s">
        <v>1505</v>
      </c>
      <c r="B226" s="63" t="s">
        <v>1506</v>
      </c>
      <c r="C226" s="79" t="s">
        <v>8402</v>
      </c>
    </row>
    <row r="227" spans="1:3" x14ac:dyDescent="0.25">
      <c r="A227" s="62" t="s">
        <v>1507</v>
      </c>
      <c r="B227" s="63" t="s">
        <v>1508</v>
      </c>
      <c r="C227" s="79" t="s">
        <v>8402</v>
      </c>
    </row>
    <row r="228" spans="1:3" x14ac:dyDescent="0.25">
      <c r="A228" s="62" t="s">
        <v>1509</v>
      </c>
      <c r="B228" s="63" t="s">
        <v>1510</v>
      </c>
      <c r="C228" s="79" t="s">
        <v>8402</v>
      </c>
    </row>
    <row r="229" spans="1:3" x14ac:dyDescent="0.25">
      <c r="A229" s="62" t="s">
        <v>1511</v>
      </c>
      <c r="B229" s="63" t="s">
        <v>1512</v>
      </c>
      <c r="C229" s="79" t="s">
        <v>8402</v>
      </c>
    </row>
    <row r="230" spans="1:3" x14ac:dyDescent="0.25">
      <c r="A230" s="62" t="s">
        <v>1513</v>
      </c>
      <c r="B230" s="63" t="s">
        <v>1514</v>
      </c>
      <c r="C230" s="79" t="s">
        <v>8402</v>
      </c>
    </row>
    <row r="231" spans="1:3" x14ac:dyDescent="0.25">
      <c r="A231" s="62" t="s">
        <v>1515</v>
      </c>
      <c r="B231" s="63" t="s">
        <v>1516</v>
      </c>
      <c r="C231" s="79" t="s">
        <v>8402</v>
      </c>
    </row>
    <row r="232" spans="1:3" x14ac:dyDescent="0.25">
      <c r="A232" s="62" t="s">
        <v>1517</v>
      </c>
      <c r="B232" s="63" t="s">
        <v>1518</v>
      </c>
      <c r="C232" s="79" t="s">
        <v>8402</v>
      </c>
    </row>
    <row r="233" spans="1:3" x14ac:dyDescent="0.25">
      <c r="A233" s="62" t="s">
        <v>1519</v>
      </c>
      <c r="B233" s="63" t="s">
        <v>1520</v>
      </c>
      <c r="C233" s="79" t="s">
        <v>8402</v>
      </c>
    </row>
    <row r="234" spans="1:3" x14ac:dyDescent="0.25">
      <c r="A234" s="62" t="s">
        <v>1521</v>
      </c>
      <c r="B234" s="63" t="s">
        <v>1522</v>
      </c>
      <c r="C234" s="79" t="s">
        <v>8402</v>
      </c>
    </row>
    <row r="235" spans="1:3" ht="31.5" x14ac:dyDescent="0.25">
      <c r="A235" s="62" t="s">
        <v>1523</v>
      </c>
      <c r="B235" s="63" t="s">
        <v>1524</v>
      </c>
      <c r="C235" s="79" t="s">
        <v>8402</v>
      </c>
    </row>
    <row r="236" spans="1:3" ht="31.5" x14ac:dyDescent="0.25">
      <c r="A236" s="62" t="s">
        <v>1525</v>
      </c>
      <c r="B236" s="63" t="s">
        <v>1526</v>
      </c>
      <c r="C236" s="79" t="s">
        <v>8402</v>
      </c>
    </row>
    <row r="237" spans="1:3" ht="31.5" x14ac:dyDescent="0.25">
      <c r="A237" s="62" t="s">
        <v>1527</v>
      </c>
      <c r="B237" s="63" t="s">
        <v>1528</v>
      </c>
      <c r="C237" s="79" t="s">
        <v>8402</v>
      </c>
    </row>
    <row r="238" spans="1:3" ht="31.5" x14ac:dyDescent="0.25">
      <c r="A238" s="62" t="s">
        <v>1529</v>
      </c>
      <c r="B238" s="63" t="s">
        <v>1530</v>
      </c>
      <c r="C238" s="79" t="s">
        <v>8402</v>
      </c>
    </row>
    <row r="239" spans="1:3" ht="31.5" x14ac:dyDescent="0.25">
      <c r="A239" s="62" t="s">
        <v>1531</v>
      </c>
      <c r="B239" s="63" t="s">
        <v>1532</v>
      </c>
      <c r="C239" s="79" t="s">
        <v>8402</v>
      </c>
    </row>
    <row r="240" spans="1:3" ht="31.5" x14ac:dyDescent="0.25">
      <c r="A240" s="62" t="s">
        <v>1533</v>
      </c>
      <c r="B240" s="63" t="s">
        <v>1534</v>
      </c>
      <c r="C240" s="79" t="s">
        <v>8402</v>
      </c>
    </row>
    <row r="241" spans="1:3" ht="31.5" x14ac:dyDescent="0.25">
      <c r="A241" s="62" t="s">
        <v>1535</v>
      </c>
      <c r="B241" s="63" t="s">
        <v>1536</v>
      </c>
      <c r="C241" s="79" t="s">
        <v>8402</v>
      </c>
    </row>
    <row r="242" spans="1:3" ht="31.5" x14ac:dyDescent="0.25">
      <c r="A242" s="62" t="s">
        <v>1537</v>
      </c>
      <c r="B242" s="63" t="s">
        <v>1538</v>
      </c>
      <c r="C242" s="79" t="s">
        <v>8402</v>
      </c>
    </row>
    <row r="243" spans="1:3" ht="31.5" x14ac:dyDescent="0.25">
      <c r="A243" s="62" t="s">
        <v>1539</v>
      </c>
      <c r="B243" s="63" t="s">
        <v>1540</v>
      </c>
      <c r="C243" s="79" t="s">
        <v>8402</v>
      </c>
    </row>
    <row r="244" spans="1:3" ht="31.5" x14ac:dyDescent="0.25">
      <c r="A244" s="62" t="s">
        <v>1541</v>
      </c>
      <c r="B244" s="63" t="s">
        <v>1542</v>
      </c>
      <c r="C244" s="79" t="s">
        <v>8402</v>
      </c>
    </row>
    <row r="245" spans="1:3" ht="31.5" x14ac:dyDescent="0.25">
      <c r="A245" s="62" t="s">
        <v>1543</v>
      </c>
      <c r="B245" s="63" t="s">
        <v>1544</v>
      </c>
      <c r="C245" s="79" t="s">
        <v>8402</v>
      </c>
    </row>
    <row r="246" spans="1:3" ht="31.5" x14ac:dyDescent="0.25">
      <c r="A246" s="62" t="s">
        <v>1545</v>
      </c>
      <c r="B246" s="63" t="s">
        <v>1546</v>
      </c>
      <c r="C246" s="79" t="s">
        <v>8402</v>
      </c>
    </row>
    <row r="247" spans="1:3" ht="31.5" x14ac:dyDescent="0.25">
      <c r="A247" s="62" t="s">
        <v>1547</v>
      </c>
      <c r="B247" s="63" t="s">
        <v>1548</v>
      </c>
      <c r="C247" s="79" t="s">
        <v>8402</v>
      </c>
    </row>
    <row r="248" spans="1:3" ht="31.5" x14ac:dyDescent="0.25">
      <c r="A248" s="62" t="s">
        <v>1549</v>
      </c>
      <c r="B248" s="63" t="s">
        <v>1550</v>
      </c>
      <c r="C248" s="79" t="s">
        <v>8402</v>
      </c>
    </row>
    <row r="249" spans="1:3" ht="31.5" x14ac:dyDescent="0.25">
      <c r="A249" s="62" t="s">
        <v>1551</v>
      </c>
      <c r="B249" s="63" t="s">
        <v>1552</v>
      </c>
      <c r="C249" s="79" t="s">
        <v>8402</v>
      </c>
    </row>
    <row r="250" spans="1:3" ht="31.5" x14ac:dyDescent="0.25">
      <c r="A250" s="62" t="s">
        <v>1553</v>
      </c>
      <c r="B250" s="63" t="s">
        <v>1554</v>
      </c>
      <c r="C250" s="79" t="s">
        <v>8402</v>
      </c>
    </row>
    <row r="251" spans="1:3" ht="31.5" x14ac:dyDescent="0.25">
      <c r="A251" s="62" t="s">
        <v>1555</v>
      </c>
      <c r="B251" s="63" t="s">
        <v>1556</v>
      </c>
      <c r="C251" s="79" t="s">
        <v>8402</v>
      </c>
    </row>
    <row r="252" spans="1:3" ht="31.5" x14ac:dyDescent="0.25">
      <c r="A252" s="62" t="s">
        <v>1557</v>
      </c>
      <c r="B252" s="63" t="s">
        <v>1558</v>
      </c>
      <c r="C252" s="79" t="s">
        <v>8402</v>
      </c>
    </row>
    <row r="253" spans="1:3" ht="31.5" x14ac:dyDescent="0.25">
      <c r="A253" s="62" t="s">
        <v>1559</v>
      </c>
      <c r="B253" s="63" t="s">
        <v>1560</v>
      </c>
      <c r="C253" s="79" t="s">
        <v>8402</v>
      </c>
    </row>
    <row r="254" spans="1:3" ht="31.5" x14ac:dyDescent="0.25">
      <c r="A254" s="62" t="s">
        <v>1561</v>
      </c>
      <c r="B254" s="63" t="s">
        <v>1562</v>
      </c>
      <c r="C254" s="79" t="s">
        <v>8402</v>
      </c>
    </row>
    <row r="255" spans="1:3" ht="31.5" x14ac:dyDescent="0.25">
      <c r="A255" s="62" t="s">
        <v>1563</v>
      </c>
      <c r="B255" s="63" t="s">
        <v>1564</v>
      </c>
      <c r="C255" s="79" t="s">
        <v>8402</v>
      </c>
    </row>
    <row r="256" spans="1:3" ht="18" x14ac:dyDescent="0.25">
      <c r="A256" s="182"/>
      <c r="B256" s="182" t="s">
        <v>8403</v>
      </c>
      <c r="C256" s="183"/>
    </row>
    <row r="257" spans="1:3" ht="31.5" x14ac:dyDescent="0.25">
      <c r="A257" s="62" t="s">
        <v>1565</v>
      </c>
      <c r="B257" s="63" t="s">
        <v>1566</v>
      </c>
      <c r="C257" s="79" t="s">
        <v>8404</v>
      </c>
    </row>
    <row r="258" spans="1:3" ht="31.5" x14ac:dyDescent="0.25">
      <c r="A258" s="62" t="s">
        <v>1567</v>
      </c>
      <c r="B258" s="63" t="s">
        <v>1568</v>
      </c>
      <c r="C258" s="79" t="s">
        <v>8404</v>
      </c>
    </row>
    <row r="259" spans="1:3" ht="31.5" x14ac:dyDescent="0.25">
      <c r="A259" s="62" t="s">
        <v>1569</v>
      </c>
      <c r="B259" s="63" t="s">
        <v>1570</v>
      </c>
      <c r="C259" s="79" t="s">
        <v>8404</v>
      </c>
    </row>
    <row r="260" spans="1:3" ht="31.5" x14ac:dyDescent="0.25">
      <c r="A260" s="62" t="s">
        <v>1571</v>
      </c>
      <c r="B260" s="63" t="s">
        <v>1572</v>
      </c>
      <c r="C260" s="79" t="s">
        <v>8404</v>
      </c>
    </row>
    <row r="261" spans="1:3" ht="31.5" x14ac:dyDescent="0.25">
      <c r="A261" s="62" t="s">
        <v>1573</v>
      </c>
      <c r="B261" s="63" t="s">
        <v>1574</v>
      </c>
      <c r="C261" s="79" t="s">
        <v>8404</v>
      </c>
    </row>
    <row r="262" spans="1:3" ht="31.5" x14ac:dyDescent="0.25">
      <c r="A262" s="62" t="s">
        <v>1575</v>
      </c>
      <c r="B262" s="63" t="s">
        <v>1576</v>
      </c>
      <c r="C262" s="79" t="s">
        <v>8404</v>
      </c>
    </row>
    <row r="263" spans="1:3" ht="31.5" x14ac:dyDescent="0.25">
      <c r="A263" s="62" t="s">
        <v>1577</v>
      </c>
      <c r="B263" s="63" t="s">
        <v>1578</v>
      </c>
      <c r="C263" s="79" t="s">
        <v>8404</v>
      </c>
    </row>
    <row r="264" spans="1:3" ht="31.5" x14ac:dyDescent="0.25">
      <c r="A264" s="62" t="s">
        <v>1579</v>
      </c>
      <c r="B264" s="63" t="s">
        <v>1580</v>
      </c>
      <c r="C264" s="79" t="s">
        <v>8404</v>
      </c>
    </row>
    <row r="265" spans="1:3" ht="31.5" x14ac:dyDescent="0.25">
      <c r="A265" s="62" t="s">
        <v>1581</v>
      </c>
      <c r="B265" s="63" t="s">
        <v>1582</v>
      </c>
      <c r="C265" s="79" t="s">
        <v>8404</v>
      </c>
    </row>
    <row r="266" spans="1:3" ht="31.5" x14ac:dyDescent="0.25">
      <c r="A266" s="62" t="s">
        <v>1583</v>
      </c>
      <c r="B266" s="63" t="s">
        <v>1584</v>
      </c>
      <c r="C266" s="79" t="s">
        <v>8404</v>
      </c>
    </row>
    <row r="267" spans="1:3" ht="31.5" x14ac:dyDescent="0.25">
      <c r="A267" s="62" t="s">
        <v>1585</v>
      </c>
      <c r="B267" s="63" t="s">
        <v>1586</v>
      </c>
      <c r="C267" s="79" t="s">
        <v>8404</v>
      </c>
    </row>
    <row r="268" spans="1:3" ht="31.5" x14ac:dyDescent="0.25">
      <c r="A268" s="62" t="s">
        <v>1587</v>
      </c>
      <c r="B268" s="63" t="s">
        <v>1588</v>
      </c>
      <c r="C268" s="79" t="s">
        <v>8404</v>
      </c>
    </row>
    <row r="269" spans="1:3" ht="31.5" x14ac:dyDescent="0.25">
      <c r="A269" s="62" t="s">
        <v>1589</v>
      </c>
      <c r="B269" s="63" t="s">
        <v>1590</v>
      </c>
      <c r="C269" s="79" t="s">
        <v>8404</v>
      </c>
    </row>
    <row r="270" spans="1:3" ht="31.5" x14ac:dyDescent="0.25">
      <c r="A270" s="62" t="s">
        <v>1591</v>
      </c>
      <c r="B270" s="63" t="s">
        <v>1592</v>
      </c>
      <c r="C270" s="79" t="s">
        <v>8404</v>
      </c>
    </row>
    <row r="271" spans="1:3" ht="31.5" x14ac:dyDescent="0.25">
      <c r="A271" s="62" t="s">
        <v>1593</v>
      </c>
      <c r="B271" s="63" t="s">
        <v>1594</v>
      </c>
      <c r="C271" s="79" t="s">
        <v>8405</v>
      </c>
    </row>
    <row r="272" spans="1:3" ht="31.5" x14ac:dyDescent="0.25">
      <c r="A272" s="62" t="s">
        <v>1595</v>
      </c>
      <c r="B272" s="63" t="s">
        <v>1596</v>
      </c>
      <c r="C272" s="79" t="s">
        <v>8405</v>
      </c>
    </row>
    <row r="273" spans="1:3" ht="31.5" x14ac:dyDescent="0.25">
      <c r="A273" s="62" t="s">
        <v>1597</v>
      </c>
      <c r="B273" s="63" t="s">
        <v>1598</v>
      </c>
      <c r="C273" s="79" t="s">
        <v>8405</v>
      </c>
    </row>
    <row r="274" spans="1:3" ht="31.5" x14ac:dyDescent="0.25">
      <c r="A274" s="62" t="s">
        <v>1599</v>
      </c>
      <c r="B274" s="63" t="s">
        <v>1600</v>
      </c>
      <c r="C274" s="79" t="s">
        <v>8405</v>
      </c>
    </row>
    <row r="275" spans="1:3" ht="31.5" x14ac:dyDescent="0.25">
      <c r="A275" s="62" t="s">
        <v>1601</v>
      </c>
      <c r="B275" s="63" t="s">
        <v>1602</v>
      </c>
      <c r="C275" s="79" t="s">
        <v>8405</v>
      </c>
    </row>
    <row r="276" spans="1:3" ht="31.5" x14ac:dyDescent="0.25">
      <c r="A276" s="62" t="s">
        <v>1603</v>
      </c>
      <c r="B276" s="63" t="s">
        <v>1604</v>
      </c>
      <c r="C276" s="79" t="s">
        <v>8405</v>
      </c>
    </row>
    <row r="277" spans="1:3" ht="31.5" x14ac:dyDescent="0.25">
      <c r="A277" s="62" t="s">
        <v>1605</v>
      </c>
      <c r="B277" s="63" t="s">
        <v>1606</v>
      </c>
      <c r="C277" s="79" t="s">
        <v>8405</v>
      </c>
    </row>
    <row r="278" spans="1:3" ht="31.5" x14ac:dyDescent="0.25">
      <c r="A278" s="62" t="s">
        <v>1607</v>
      </c>
      <c r="B278" s="63" t="s">
        <v>1608</v>
      </c>
      <c r="C278" s="79" t="s">
        <v>8405</v>
      </c>
    </row>
    <row r="279" spans="1:3" ht="31.5" x14ac:dyDescent="0.25">
      <c r="A279" s="62" t="s">
        <v>1609</v>
      </c>
      <c r="B279" s="63" t="s">
        <v>1610</v>
      </c>
      <c r="C279" s="79" t="s">
        <v>8405</v>
      </c>
    </row>
    <row r="280" spans="1:3" ht="31.5" x14ac:dyDescent="0.25">
      <c r="A280" s="62" t="s">
        <v>1611</v>
      </c>
      <c r="B280" s="63" t="s">
        <v>1612</v>
      </c>
      <c r="C280" s="79" t="s">
        <v>8405</v>
      </c>
    </row>
    <row r="281" spans="1:3" ht="31.5" x14ac:dyDescent="0.25">
      <c r="A281" s="62" t="s">
        <v>1613</v>
      </c>
      <c r="B281" s="63" t="s">
        <v>1614</v>
      </c>
      <c r="C281" s="79" t="s">
        <v>8405</v>
      </c>
    </row>
    <row r="282" spans="1:3" ht="31.5" x14ac:dyDescent="0.25">
      <c r="A282" s="62" t="s">
        <v>1615</v>
      </c>
      <c r="B282" s="63" t="s">
        <v>1616</v>
      </c>
      <c r="C282" s="79" t="s">
        <v>8405</v>
      </c>
    </row>
    <row r="283" spans="1:3" ht="31.5" x14ac:dyDescent="0.25">
      <c r="A283" s="62" t="s">
        <v>1617</v>
      </c>
      <c r="B283" s="63" t="s">
        <v>1618</v>
      </c>
      <c r="C283" s="79" t="s">
        <v>8405</v>
      </c>
    </row>
    <row r="284" spans="1:3" ht="31.5" x14ac:dyDescent="0.25">
      <c r="A284" s="62" t="s">
        <v>1619</v>
      </c>
      <c r="B284" s="63" t="s">
        <v>1620</v>
      </c>
      <c r="C284" s="79" t="s">
        <v>8406</v>
      </c>
    </row>
    <row r="285" spans="1:3" ht="31.5" x14ac:dyDescent="0.25">
      <c r="A285" s="62" t="s">
        <v>1621</v>
      </c>
      <c r="B285" s="63" t="s">
        <v>1622</v>
      </c>
      <c r="C285" s="79" t="s">
        <v>8406</v>
      </c>
    </row>
    <row r="286" spans="1:3" ht="31.5" x14ac:dyDescent="0.25">
      <c r="A286" s="62" t="s">
        <v>1623</v>
      </c>
      <c r="B286" s="63" t="s">
        <v>1624</v>
      </c>
      <c r="C286" s="79" t="s">
        <v>8406</v>
      </c>
    </row>
    <row r="287" spans="1:3" ht="31.5" x14ac:dyDescent="0.25">
      <c r="A287" s="62" t="s">
        <v>1625</v>
      </c>
      <c r="B287" s="63" t="s">
        <v>1626</v>
      </c>
      <c r="C287" s="79" t="s">
        <v>8406</v>
      </c>
    </row>
    <row r="288" spans="1:3" ht="31.5" x14ac:dyDescent="0.25">
      <c r="A288" s="62" t="s">
        <v>1627</v>
      </c>
      <c r="B288" s="63" t="s">
        <v>1628</v>
      </c>
      <c r="C288" s="79" t="s">
        <v>8406</v>
      </c>
    </row>
    <row r="289" spans="1:3" ht="31.5" x14ac:dyDescent="0.25">
      <c r="A289" s="62" t="s">
        <v>1629</v>
      </c>
      <c r="B289" s="63" t="s">
        <v>1630</v>
      </c>
      <c r="C289" s="79" t="s">
        <v>8406</v>
      </c>
    </row>
    <row r="290" spans="1:3" ht="31.5" x14ac:dyDescent="0.25">
      <c r="A290" s="62" t="s">
        <v>1631</v>
      </c>
      <c r="B290" s="63" t="s">
        <v>1632</v>
      </c>
      <c r="C290" s="79" t="s">
        <v>8406</v>
      </c>
    </row>
    <row r="291" spans="1:3" ht="31.5" x14ac:dyDescent="0.25">
      <c r="A291" s="62" t="s">
        <v>1633</v>
      </c>
      <c r="B291" s="63" t="s">
        <v>1634</v>
      </c>
      <c r="C291" s="79" t="s">
        <v>8406</v>
      </c>
    </row>
    <row r="292" spans="1:3" ht="31.5" x14ac:dyDescent="0.25">
      <c r="A292" s="62" t="s">
        <v>1635</v>
      </c>
      <c r="B292" s="63" t="s">
        <v>1636</v>
      </c>
      <c r="C292" s="79" t="s">
        <v>8406</v>
      </c>
    </row>
    <row r="293" spans="1:3" ht="31.5" x14ac:dyDescent="0.25">
      <c r="A293" s="62" t="s">
        <v>1637</v>
      </c>
      <c r="B293" s="63" t="s">
        <v>1638</v>
      </c>
      <c r="C293" s="79" t="s">
        <v>8406</v>
      </c>
    </row>
    <row r="294" spans="1:3" ht="31.5" x14ac:dyDescent="0.25">
      <c r="A294" s="62" t="s">
        <v>1639</v>
      </c>
      <c r="B294" s="63" t="s">
        <v>1640</v>
      </c>
      <c r="C294" s="79" t="s">
        <v>8406</v>
      </c>
    </row>
    <row r="295" spans="1:3" x14ac:dyDescent="0.25">
      <c r="A295" s="64"/>
      <c r="B295" s="64" t="s">
        <v>8407</v>
      </c>
      <c r="C295" s="80"/>
    </row>
    <row r="296" spans="1:3" ht="18" x14ac:dyDescent="0.25">
      <c r="A296" s="182"/>
      <c r="B296" s="182" t="s">
        <v>8408</v>
      </c>
      <c r="C296" s="183"/>
    </row>
    <row r="297" spans="1:3" x14ac:dyDescent="0.25">
      <c r="A297" s="62" t="s">
        <v>1641</v>
      </c>
      <c r="B297" s="63" t="s">
        <v>1642</v>
      </c>
      <c r="C297" s="79" t="s">
        <v>8409</v>
      </c>
    </row>
    <row r="298" spans="1:3" ht="18" x14ac:dyDescent="0.25">
      <c r="A298" s="182"/>
      <c r="B298" s="182" t="s">
        <v>8410</v>
      </c>
      <c r="C298" s="183"/>
    </row>
    <row r="299" spans="1:3" ht="31.5" x14ac:dyDescent="0.25">
      <c r="A299" s="62" t="s">
        <v>1643</v>
      </c>
      <c r="B299" s="63" t="s">
        <v>1644</v>
      </c>
      <c r="C299" s="79" t="s">
        <v>8411</v>
      </c>
    </row>
    <row r="300" spans="1:3" ht="31.5" x14ac:dyDescent="0.25">
      <c r="A300" s="62" t="s">
        <v>1645</v>
      </c>
      <c r="B300" s="63" t="s">
        <v>1646</v>
      </c>
      <c r="C300" s="79" t="s">
        <v>8412</v>
      </c>
    </row>
    <row r="301" spans="1:3" ht="18" x14ac:dyDescent="0.25">
      <c r="A301" s="182"/>
      <c r="B301" s="182" t="s">
        <v>8413</v>
      </c>
      <c r="C301" s="183"/>
    </row>
    <row r="302" spans="1:3" ht="31.5" x14ac:dyDescent="0.25">
      <c r="A302" s="62" t="s">
        <v>1647</v>
      </c>
      <c r="B302" s="63" t="s">
        <v>1648</v>
      </c>
      <c r="C302" s="79" t="s">
        <v>8414</v>
      </c>
    </row>
    <row r="303" spans="1:3" ht="18" x14ac:dyDescent="0.25">
      <c r="A303" s="182"/>
      <c r="B303" s="182" t="s">
        <v>8415</v>
      </c>
      <c r="C303" s="183"/>
    </row>
    <row r="304" spans="1:3" ht="31.5" x14ac:dyDescent="0.25">
      <c r="A304" s="62" t="s">
        <v>1649</v>
      </c>
      <c r="B304" s="63" t="s">
        <v>1650</v>
      </c>
      <c r="C304" s="79" t="s">
        <v>8416</v>
      </c>
    </row>
    <row r="305" spans="1:3" x14ac:dyDescent="0.25">
      <c r="A305" s="62" t="s">
        <v>1651</v>
      </c>
      <c r="B305" s="63" t="s">
        <v>1652</v>
      </c>
      <c r="C305" s="79" t="s">
        <v>8417</v>
      </c>
    </row>
    <row r="306" spans="1:3" ht="18" x14ac:dyDescent="0.25">
      <c r="A306" s="182"/>
      <c r="B306" s="182" t="s">
        <v>8418</v>
      </c>
      <c r="C306" s="183"/>
    </row>
    <row r="307" spans="1:3" x14ac:dyDescent="0.25">
      <c r="A307" s="62" t="s">
        <v>1653</v>
      </c>
      <c r="B307" s="63" t="s">
        <v>1654</v>
      </c>
      <c r="C307" s="79" t="s">
        <v>8419</v>
      </c>
    </row>
    <row r="308" spans="1:3" x14ac:dyDescent="0.25">
      <c r="A308" s="62" t="s">
        <v>1655</v>
      </c>
      <c r="B308" s="63" t="s">
        <v>1656</v>
      </c>
      <c r="C308" s="79" t="s">
        <v>8420</v>
      </c>
    </row>
    <row r="309" spans="1:3" x14ac:dyDescent="0.25">
      <c r="A309" s="62" t="s">
        <v>1657</v>
      </c>
      <c r="B309" s="63" t="s">
        <v>1658</v>
      </c>
      <c r="C309" s="79" t="s">
        <v>8409</v>
      </c>
    </row>
    <row r="310" spans="1:3" ht="18" x14ac:dyDescent="0.25">
      <c r="A310" s="182"/>
      <c r="B310" s="182" t="s">
        <v>8421</v>
      </c>
      <c r="C310" s="183"/>
    </row>
    <row r="311" spans="1:3" ht="31.5" x14ac:dyDescent="0.25">
      <c r="A311" s="62" t="s">
        <v>1659</v>
      </c>
      <c r="B311" s="63" t="s">
        <v>1660</v>
      </c>
      <c r="C311" s="79" t="s">
        <v>8422</v>
      </c>
    </row>
    <row r="312" spans="1:3" ht="18" x14ac:dyDescent="0.25">
      <c r="A312" s="182"/>
      <c r="B312" s="182" t="s">
        <v>8423</v>
      </c>
      <c r="C312" s="183"/>
    </row>
    <row r="313" spans="1:3" ht="31.5" x14ac:dyDescent="0.25">
      <c r="A313" s="62" t="s">
        <v>1661</v>
      </c>
      <c r="B313" s="63" t="s">
        <v>1662</v>
      </c>
      <c r="C313" s="79" t="s">
        <v>8424</v>
      </c>
    </row>
    <row r="314" spans="1:3" ht="18" x14ac:dyDescent="0.25">
      <c r="A314" s="182"/>
      <c r="B314" s="182" t="s">
        <v>8425</v>
      </c>
      <c r="C314" s="183"/>
    </row>
    <row r="315" spans="1:3" x14ac:dyDescent="0.25">
      <c r="A315" s="62" t="s">
        <v>1663</v>
      </c>
      <c r="B315" s="63" t="s">
        <v>1664</v>
      </c>
      <c r="C315" s="79" t="s">
        <v>8426</v>
      </c>
    </row>
    <row r="316" spans="1:3" ht="18" x14ac:dyDescent="0.25">
      <c r="A316" s="182"/>
      <c r="B316" s="182" t="s">
        <v>8427</v>
      </c>
      <c r="C316" s="183"/>
    </row>
    <row r="317" spans="1:3" ht="31.5" x14ac:dyDescent="0.25">
      <c r="A317" s="62" t="s">
        <v>1665</v>
      </c>
      <c r="B317" s="63" t="s">
        <v>1666</v>
      </c>
      <c r="C317" s="79" t="s">
        <v>8428</v>
      </c>
    </row>
    <row r="318" spans="1:3" ht="18" x14ac:dyDescent="0.25">
      <c r="A318" s="182"/>
      <c r="B318" s="182" t="s">
        <v>8429</v>
      </c>
      <c r="C318" s="183"/>
    </row>
    <row r="319" spans="1:3" ht="31.5" x14ac:dyDescent="0.25">
      <c r="A319" s="62" t="s">
        <v>1667</v>
      </c>
      <c r="B319" s="63" t="s">
        <v>1668</v>
      </c>
      <c r="C319" s="79" t="s">
        <v>8430</v>
      </c>
    </row>
    <row r="320" spans="1:3" ht="31.5" x14ac:dyDescent="0.25">
      <c r="A320" s="62" t="s">
        <v>1669</v>
      </c>
      <c r="B320" s="63" t="s">
        <v>1670</v>
      </c>
      <c r="C320" s="79" t="s">
        <v>8431</v>
      </c>
    </row>
    <row r="321" spans="1:3" x14ac:dyDescent="0.25">
      <c r="A321" s="62" t="s">
        <v>1671</v>
      </c>
      <c r="B321" s="63" t="s">
        <v>1672</v>
      </c>
      <c r="C321" s="79" t="s">
        <v>8430</v>
      </c>
    </row>
    <row r="322" spans="1:3" ht="18" x14ac:dyDescent="0.25">
      <c r="A322" s="182"/>
      <c r="B322" s="182" t="s">
        <v>8432</v>
      </c>
      <c r="C322" s="183"/>
    </row>
    <row r="323" spans="1:3" ht="31.5" x14ac:dyDescent="0.25">
      <c r="A323" s="62" t="s">
        <v>1673</v>
      </c>
      <c r="B323" s="63" t="s">
        <v>1674</v>
      </c>
      <c r="C323" s="79" t="s">
        <v>8433</v>
      </c>
    </row>
    <row r="324" spans="1:3" ht="31.5" x14ac:dyDescent="0.25">
      <c r="A324" s="62" t="s">
        <v>1675</v>
      </c>
      <c r="B324" s="63" t="s">
        <v>1676</v>
      </c>
      <c r="C324" s="79" t="s">
        <v>8434</v>
      </c>
    </row>
    <row r="325" spans="1:3" ht="18" x14ac:dyDescent="0.25">
      <c r="A325" s="182"/>
      <c r="B325" s="182" t="s">
        <v>1677</v>
      </c>
      <c r="C325" s="183"/>
    </row>
    <row r="326" spans="1:3" x14ac:dyDescent="0.25">
      <c r="A326" s="62" t="s">
        <v>1678</v>
      </c>
      <c r="B326" s="63" t="s">
        <v>1677</v>
      </c>
      <c r="C326" s="79" t="s">
        <v>8435</v>
      </c>
    </row>
    <row r="327" spans="1:3" x14ac:dyDescent="0.25">
      <c r="A327" s="64"/>
      <c r="B327" s="64" t="s">
        <v>8436</v>
      </c>
      <c r="C327" s="80"/>
    </row>
    <row r="328" spans="1:3" ht="18" x14ac:dyDescent="0.25">
      <c r="A328" s="182"/>
      <c r="B328" s="182" t="s">
        <v>8437</v>
      </c>
      <c r="C328" s="183"/>
    </row>
    <row r="329" spans="1:3" x14ac:dyDescent="0.25">
      <c r="A329" s="62" t="s">
        <v>1679</v>
      </c>
      <c r="B329" s="63" t="s">
        <v>1680</v>
      </c>
      <c r="C329" s="79" t="s">
        <v>8438</v>
      </c>
    </row>
    <row r="330" spans="1:3" x14ac:dyDescent="0.25">
      <c r="A330" s="62" t="s">
        <v>1681</v>
      </c>
      <c r="B330" s="63" t="s">
        <v>1682</v>
      </c>
      <c r="C330" s="79" t="s">
        <v>8439</v>
      </c>
    </row>
    <row r="331" spans="1:3" ht="18" x14ac:dyDescent="0.25">
      <c r="A331" s="182"/>
      <c r="B331" s="182" t="s">
        <v>8440</v>
      </c>
      <c r="C331" s="183"/>
    </row>
    <row r="332" spans="1:3" x14ac:dyDescent="0.25">
      <c r="A332" s="62" t="s">
        <v>1683</v>
      </c>
      <c r="B332" s="63" t="s">
        <v>1684</v>
      </c>
      <c r="C332" s="79" t="s">
        <v>8441</v>
      </c>
    </row>
    <row r="333" spans="1:3" ht="18" x14ac:dyDescent="0.25">
      <c r="A333" s="182"/>
      <c r="B333" s="182" t="s">
        <v>8442</v>
      </c>
      <c r="C333" s="183"/>
    </row>
    <row r="334" spans="1:3" x14ac:dyDescent="0.25">
      <c r="A334" s="62" t="s">
        <v>1685</v>
      </c>
      <c r="B334" s="63" t="s">
        <v>1686</v>
      </c>
      <c r="C334" s="79" t="s">
        <v>8441</v>
      </c>
    </row>
    <row r="335" spans="1:3" ht="18" x14ac:dyDescent="0.25">
      <c r="A335" s="182"/>
      <c r="B335" s="182" t="s">
        <v>8443</v>
      </c>
      <c r="C335" s="183"/>
    </row>
    <row r="336" spans="1:3" x14ac:dyDescent="0.25">
      <c r="A336" s="62" t="s">
        <v>1687</v>
      </c>
      <c r="B336" s="63" t="s">
        <v>1688</v>
      </c>
      <c r="C336" s="79" t="s">
        <v>8444</v>
      </c>
    </row>
    <row r="337" spans="1:3" ht="18" x14ac:dyDescent="0.25">
      <c r="A337" s="182"/>
      <c r="B337" s="182" t="s">
        <v>8445</v>
      </c>
      <c r="C337" s="183"/>
    </row>
    <row r="338" spans="1:3" ht="31.5" x14ac:dyDescent="0.25">
      <c r="A338" s="62" t="s">
        <v>1689</v>
      </c>
      <c r="B338" s="63" t="s">
        <v>1690</v>
      </c>
      <c r="C338" s="79" t="s">
        <v>8446</v>
      </c>
    </row>
    <row r="339" spans="1:3" ht="18" x14ac:dyDescent="0.25">
      <c r="A339" s="182"/>
      <c r="B339" s="182" t="s">
        <v>8447</v>
      </c>
      <c r="C339" s="183"/>
    </row>
    <row r="340" spans="1:3" x14ac:dyDescent="0.25">
      <c r="A340" s="62" t="s">
        <v>1691</v>
      </c>
      <c r="B340" s="63" t="s">
        <v>1692</v>
      </c>
      <c r="C340" s="79" t="s">
        <v>8448</v>
      </c>
    </row>
    <row r="341" spans="1:3" x14ac:dyDescent="0.25">
      <c r="A341" s="62" t="s">
        <v>1693</v>
      </c>
      <c r="B341" s="63" t="s">
        <v>1694</v>
      </c>
      <c r="C341" s="79" t="s">
        <v>8449</v>
      </c>
    </row>
    <row r="342" spans="1:3" ht="18" x14ac:dyDescent="0.25">
      <c r="A342" s="182"/>
      <c r="B342" s="182" t="s">
        <v>8450</v>
      </c>
      <c r="C342" s="183"/>
    </row>
    <row r="343" spans="1:3" x14ac:dyDescent="0.25">
      <c r="A343" s="62" t="s">
        <v>1695</v>
      </c>
      <c r="B343" s="63" t="s">
        <v>1696</v>
      </c>
      <c r="C343" s="79" t="s">
        <v>8438</v>
      </c>
    </row>
    <row r="344" spans="1:3" x14ac:dyDescent="0.25">
      <c r="A344" s="62" t="s">
        <v>1697</v>
      </c>
      <c r="B344" s="63" t="s">
        <v>1698</v>
      </c>
      <c r="C344" s="79" t="s">
        <v>8451</v>
      </c>
    </row>
    <row r="345" spans="1:3" x14ac:dyDescent="0.25">
      <c r="A345" s="62" t="s">
        <v>1699</v>
      </c>
      <c r="B345" s="63" t="s">
        <v>1700</v>
      </c>
      <c r="C345" s="79" t="s">
        <v>8452</v>
      </c>
    </row>
    <row r="346" spans="1:3" x14ac:dyDescent="0.25">
      <c r="A346" s="62" t="s">
        <v>1701</v>
      </c>
      <c r="B346" s="63" t="s">
        <v>1702</v>
      </c>
      <c r="C346" s="79" t="s">
        <v>8453</v>
      </c>
    </row>
    <row r="347" spans="1:3" x14ac:dyDescent="0.25">
      <c r="A347" s="64"/>
      <c r="B347" s="64" t="s">
        <v>8454</v>
      </c>
      <c r="C347" s="80"/>
    </row>
    <row r="348" spans="1:3" ht="18" x14ac:dyDescent="0.25">
      <c r="A348" s="182"/>
      <c r="B348" s="182" t="s">
        <v>8455</v>
      </c>
      <c r="C348" s="183"/>
    </row>
    <row r="349" spans="1:3" ht="31.5" x14ac:dyDescent="0.25">
      <c r="A349" s="62" t="s">
        <v>1703</v>
      </c>
      <c r="B349" s="63" t="s">
        <v>1704</v>
      </c>
      <c r="C349" s="79" t="s">
        <v>8456</v>
      </c>
    </row>
    <row r="350" spans="1:3" ht="47.25" x14ac:dyDescent="0.25">
      <c r="A350" s="62" t="s">
        <v>1705</v>
      </c>
      <c r="B350" s="63" t="s">
        <v>1706</v>
      </c>
      <c r="C350" s="79" t="s">
        <v>8457</v>
      </c>
    </row>
    <row r="351" spans="1:3" x14ac:dyDescent="0.25">
      <c r="A351" s="64"/>
      <c r="B351" s="64" t="s">
        <v>8458</v>
      </c>
      <c r="C351" s="80"/>
    </row>
    <row r="352" spans="1:3" ht="18" x14ac:dyDescent="0.25">
      <c r="A352" s="182"/>
      <c r="B352" s="182" t="s">
        <v>8459</v>
      </c>
      <c r="C352" s="183"/>
    </row>
    <row r="353" spans="1:3" ht="47.25" x14ac:dyDescent="0.25">
      <c r="A353" s="62" t="s">
        <v>1707</v>
      </c>
      <c r="B353" s="63" t="s">
        <v>1708</v>
      </c>
      <c r="C353" s="79" t="s">
        <v>8460</v>
      </c>
    </row>
    <row r="354" spans="1:3" ht="18" x14ac:dyDescent="0.25">
      <c r="A354" s="182"/>
      <c r="B354" s="182" t="s">
        <v>8461</v>
      </c>
      <c r="C354" s="183"/>
    </row>
    <row r="355" spans="1:3" x14ac:dyDescent="0.25">
      <c r="A355" s="62" t="s">
        <v>1709</v>
      </c>
      <c r="B355" s="63" t="s">
        <v>1710</v>
      </c>
      <c r="C355" s="79" t="s">
        <v>8460</v>
      </c>
    </row>
    <row r="356" spans="1:3" ht="18" x14ac:dyDescent="0.25">
      <c r="A356" s="182"/>
      <c r="B356" s="182" t="s">
        <v>8462</v>
      </c>
      <c r="C356" s="183"/>
    </row>
    <row r="357" spans="1:3" x14ac:dyDescent="0.25">
      <c r="A357" s="62" t="s">
        <v>1711</v>
      </c>
      <c r="B357" s="63" t="s">
        <v>1712</v>
      </c>
      <c r="C357" s="79" t="s">
        <v>8460</v>
      </c>
    </row>
    <row r="358" spans="1:3" ht="18" x14ac:dyDescent="0.25">
      <c r="A358" s="182"/>
      <c r="B358" s="182" t="s">
        <v>8463</v>
      </c>
      <c r="C358" s="183"/>
    </row>
    <row r="359" spans="1:3" ht="31.5" x14ac:dyDescent="0.25">
      <c r="A359" s="62" t="s">
        <v>1713</v>
      </c>
      <c r="B359" s="63" t="s">
        <v>1714</v>
      </c>
      <c r="C359" s="79" t="s">
        <v>8460</v>
      </c>
    </row>
    <row r="360" spans="1:3" ht="18" x14ac:dyDescent="0.25">
      <c r="A360" s="182"/>
      <c r="B360" s="182" t="s">
        <v>8464</v>
      </c>
      <c r="C360" s="183"/>
    </row>
    <row r="361" spans="1:3" ht="31.5" x14ac:dyDescent="0.25">
      <c r="A361" s="62" t="s">
        <v>1715</v>
      </c>
      <c r="B361" s="63" t="s">
        <v>1716</v>
      </c>
      <c r="C361" s="79" t="s">
        <v>8460</v>
      </c>
    </row>
    <row r="362" spans="1:3" ht="31.5" x14ac:dyDescent="0.25">
      <c r="A362" s="62" t="s">
        <v>1717</v>
      </c>
      <c r="B362" s="63" t="s">
        <v>1718</v>
      </c>
      <c r="C362" s="79" t="s">
        <v>8460</v>
      </c>
    </row>
    <row r="363" spans="1:3" x14ac:dyDescent="0.25">
      <c r="A363" s="62" t="s">
        <v>1719</v>
      </c>
      <c r="B363" s="63" t="s">
        <v>1720</v>
      </c>
      <c r="C363" s="79" t="s">
        <v>8460</v>
      </c>
    </row>
    <row r="364" spans="1:3" ht="18" x14ac:dyDescent="0.25">
      <c r="A364" s="182"/>
      <c r="B364" s="182" t="s">
        <v>1721</v>
      </c>
      <c r="C364" s="183"/>
    </row>
    <row r="365" spans="1:3" x14ac:dyDescent="0.25">
      <c r="A365" s="62" t="s">
        <v>1722</v>
      </c>
      <c r="B365" s="63" t="s">
        <v>1721</v>
      </c>
      <c r="C365" s="79" t="s">
        <v>8465</v>
      </c>
    </row>
    <row r="366" spans="1:3" ht="18" x14ac:dyDescent="0.25">
      <c r="A366" s="182"/>
      <c r="B366" s="182" t="s">
        <v>1723</v>
      </c>
      <c r="C366" s="183"/>
    </row>
    <row r="367" spans="1:3" x14ac:dyDescent="0.25">
      <c r="A367" s="62" t="s">
        <v>1724</v>
      </c>
      <c r="B367" s="63" t="s">
        <v>1723</v>
      </c>
      <c r="C367" s="79" t="s">
        <v>8466</v>
      </c>
    </row>
    <row r="368" spans="1:3" ht="18" x14ac:dyDescent="0.25">
      <c r="A368" s="182"/>
      <c r="B368" s="182" t="s">
        <v>1725</v>
      </c>
      <c r="C368" s="183"/>
    </row>
    <row r="369" spans="1:3" x14ac:dyDescent="0.25">
      <c r="A369" s="62" t="s">
        <v>1726</v>
      </c>
      <c r="B369" s="63" t="s">
        <v>1725</v>
      </c>
      <c r="C369" s="79" t="s">
        <v>8467</v>
      </c>
    </row>
    <row r="370" spans="1:3" ht="18" x14ac:dyDescent="0.25">
      <c r="A370" s="182"/>
      <c r="B370" s="182" t="s">
        <v>8468</v>
      </c>
      <c r="C370" s="183"/>
    </row>
    <row r="371" spans="1:3" ht="31.5" x14ac:dyDescent="0.25">
      <c r="A371" s="62" t="s">
        <v>1727</v>
      </c>
      <c r="B371" s="63" t="s">
        <v>1728</v>
      </c>
      <c r="C371" s="79" t="s">
        <v>8434</v>
      </c>
    </row>
    <row r="372" spans="1:3" ht="31.5" x14ac:dyDescent="0.25">
      <c r="A372" s="62" t="s">
        <v>1729</v>
      </c>
      <c r="B372" s="63" t="s">
        <v>1730</v>
      </c>
      <c r="C372" s="79" t="s">
        <v>8434</v>
      </c>
    </row>
    <row r="373" spans="1:3" ht="31.5" x14ac:dyDescent="0.25">
      <c r="A373" s="62" t="s">
        <v>1731</v>
      </c>
      <c r="B373" s="63" t="s">
        <v>1732</v>
      </c>
      <c r="C373" s="79" t="s">
        <v>8434</v>
      </c>
    </row>
    <row r="374" spans="1:3" ht="31.5" x14ac:dyDescent="0.25">
      <c r="A374" s="62" t="s">
        <v>1733</v>
      </c>
      <c r="B374" s="63" t="s">
        <v>1734</v>
      </c>
      <c r="C374" s="79" t="s">
        <v>8434</v>
      </c>
    </row>
    <row r="375" spans="1:3" ht="31.5" x14ac:dyDescent="0.25">
      <c r="A375" s="62" t="s">
        <v>1735</v>
      </c>
      <c r="B375" s="63" t="s">
        <v>1736</v>
      </c>
      <c r="C375" s="79" t="s">
        <v>8434</v>
      </c>
    </row>
    <row r="376" spans="1:3" ht="31.5" x14ac:dyDescent="0.25">
      <c r="A376" s="62" t="s">
        <v>1737</v>
      </c>
      <c r="B376" s="63" t="s">
        <v>1738</v>
      </c>
      <c r="C376" s="79" t="s">
        <v>8434</v>
      </c>
    </row>
    <row r="377" spans="1:3" ht="31.5" x14ac:dyDescent="0.25">
      <c r="A377" s="62" t="s">
        <v>1739</v>
      </c>
      <c r="B377" s="63" t="s">
        <v>1740</v>
      </c>
      <c r="C377" s="79" t="s">
        <v>8434</v>
      </c>
    </row>
    <row r="378" spans="1:3" ht="31.5" x14ac:dyDescent="0.25">
      <c r="A378" s="62" t="s">
        <v>1741</v>
      </c>
      <c r="B378" s="63" t="s">
        <v>1742</v>
      </c>
      <c r="C378" s="79" t="s">
        <v>8434</v>
      </c>
    </row>
    <row r="379" spans="1:3" ht="31.5" x14ac:dyDescent="0.25">
      <c r="A379" s="62" t="s">
        <v>1743</v>
      </c>
      <c r="B379" s="63" t="s">
        <v>1744</v>
      </c>
      <c r="C379" s="79" t="s">
        <v>8469</v>
      </c>
    </row>
    <row r="380" spans="1:3" ht="31.5" x14ac:dyDescent="0.25">
      <c r="A380" s="62" t="s">
        <v>1745</v>
      </c>
      <c r="B380" s="63" t="s">
        <v>1746</v>
      </c>
      <c r="C380" s="79" t="s">
        <v>8469</v>
      </c>
    </row>
    <row r="381" spans="1:3" ht="31.5" x14ac:dyDescent="0.25">
      <c r="A381" s="62" t="s">
        <v>1747</v>
      </c>
      <c r="B381" s="63" t="s">
        <v>1748</v>
      </c>
      <c r="C381" s="79" t="s">
        <v>8469</v>
      </c>
    </row>
    <row r="382" spans="1:3" ht="31.5" x14ac:dyDescent="0.25">
      <c r="A382" s="62" t="s">
        <v>1749</v>
      </c>
      <c r="B382" s="63" t="s">
        <v>1750</v>
      </c>
      <c r="C382" s="79" t="s">
        <v>8469</v>
      </c>
    </row>
    <row r="383" spans="1:3" ht="31.5" x14ac:dyDescent="0.25">
      <c r="A383" s="62" t="s">
        <v>1751</v>
      </c>
      <c r="B383" s="63" t="s">
        <v>1752</v>
      </c>
      <c r="C383" s="79" t="s">
        <v>8469</v>
      </c>
    </row>
    <row r="384" spans="1:3" ht="31.5" x14ac:dyDescent="0.25">
      <c r="A384" s="62" t="s">
        <v>1753</v>
      </c>
      <c r="B384" s="63" t="s">
        <v>1754</v>
      </c>
      <c r="C384" s="79" t="s">
        <v>8469</v>
      </c>
    </row>
    <row r="385" spans="1:3" ht="31.5" x14ac:dyDescent="0.25">
      <c r="A385" s="62" t="s">
        <v>1755</v>
      </c>
      <c r="B385" s="63" t="s">
        <v>1756</v>
      </c>
      <c r="C385" s="79" t="s">
        <v>8469</v>
      </c>
    </row>
    <row r="386" spans="1:3" ht="31.5" x14ac:dyDescent="0.25">
      <c r="A386" s="62" t="s">
        <v>1757</v>
      </c>
      <c r="B386" s="63" t="s">
        <v>1758</v>
      </c>
      <c r="C386" s="79" t="s">
        <v>8469</v>
      </c>
    </row>
    <row r="387" spans="1:3" x14ac:dyDescent="0.25">
      <c r="A387" s="62" t="s">
        <v>1759</v>
      </c>
      <c r="B387" s="63" t="s">
        <v>1760</v>
      </c>
      <c r="C387" s="79" t="s">
        <v>8469</v>
      </c>
    </row>
    <row r="388" spans="1:3" x14ac:dyDescent="0.25">
      <c r="A388" s="62" t="s">
        <v>1761</v>
      </c>
      <c r="B388" s="63" t="s">
        <v>1762</v>
      </c>
      <c r="C388" s="79" t="s">
        <v>8469</v>
      </c>
    </row>
    <row r="389" spans="1:3" x14ac:dyDescent="0.25">
      <c r="A389" s="62" t="s">
        <v>1763</v>
      </c>
      <c r="B389" s="63" t="s">
        <v>1764</v>
      </c>
      <c r="C389" s="79" t="s">
        <v>8469</v>
      </c>
    </row>
    <row r="390" spans="1:3" x14ac:dyDescent="0.25">
      <c r="A390" s="62" t="s">
        <v>1765</v>
      </c>
      <c r="B390" s="63" t="s">
        <v>1766</v>
      </c>
      <c r="C390" s="79" t="s">
        <v>8469</v>
      </c>
    </row>
    <row r="391" spans="1:3" x14ac:dyDescent="0.25">
      <c r="A391" s="62" t="s">
        <v>1767</v>
      </c>
      <c r="B391" s="63" t="s">
        <v>1768</v>
      </c>
      <c r="C391" s="79" t="s">
        <v>8469</v>
      </c>
    </row>
    <row r="392" spans="1:3" x14ac:dyDescent="0.25">
      <c r="A392" s="62" t="s">
        <v>1769</v>
      </c>
      <c r="B392" s="63" t="s">
        <v>1770</v>
      </c>
      <c r="C392" s="79" t="s">
        <v>8469</v>
      </c>
    </row>
    <row r="393" spans="1:3" x14ac:dyDescent="0.25">
      <c r="A393" s="62" t="s">
        <v>1771</v>
      </c>
      <c r="B393" s="63" t="s">
        <v>1772</v>
      </c>
      <c r="C393" s="79" t="s">
        <v>8470</v>
      </c>
    </row>
    <row r="394" spans="1:3" x14ac:dyDescent="0.25">
      <c r="A394" s="62" t="s">
        <v>1773</v>
      </c>
      <c r="B394" s="63" t="s">
        <v>1774</v>
      </c>
      <c r="C394" s="79" t="s">
        <v>8470</v>
      </c>
    </row>
    <row r="395" spans="1:3" x14ac:dyDescent="0.25">
      <c r="A395" s="62" t="s">
        <v>1775</v>
      </c>
      <c r="B395" s="63" t="s">
        <v>1776</v>
      </c>
      <c r="C395" s="79" t="s">
        <v>8469</v>
      </c>
    </row>
    <row r="396" spans="1:3" x14ac:dyDescent="0.25">
      <c r="A396" s="62" t="s">
        <v>1777</v>
      </c>
      <c r="B396" s="63" t="s">
        <v>1778</v>
      </c>
      <c r="C396" s="79" t="s">
        <v>8469</v>
      </c>
    </row>
    <row r="397" spans="1:3" x14ac:dyDescent="0.25">
      <c r="A397" s="62" t="s">
        <v>1779</v>
      </c>
      <c r="B397" s="63" t="s">
        <v>1780</v>
      </c>
      <c r="C397" s="79" t="s">
        <v>8469</v>
      </c>
    </row>
    <row r="398" spans="1:3" x14ac:dyDescent="0.25">
      <c r="A398" s="62" t="s">
        <v>1781</v>
      </c>
      <c r="B398" s="63" t="s">
        <v>1782</v>
      </c>
      <c r="C398" s="79" t="s">
        <v>8470</v>
      </c>
    </row>
    <row r="399" spans="1:3" x14ac:dyDescent="0.25">
      <c r="A399" s="62" t="s">
        <v>1783</v>
      </c>
      <c r="B399" s="63" t="s">
        <v>1784</v>
      </c>
      <c r="C399" s="79" t="s">
        <v>8469</v>
      </c>
    </row>
    <row r="400" spans="1:3" x14ac:dyDescent="0.25">
      <c r="A400" s="62" t="s">
        <v>1785</v>
      </c>
      <c r="B400" s="63" t="s">
        <v>1786</v>
      </c>
      <c r="C400" s="79" t="s">
        <v>8469</v>
      </c>
    </row>
    <row r="401" spans="1:3" ht="31.5" x14ac:dyDescent="0.25">
      <c r="A401" s="62" t="s">
        <v>1787</v>
      </c>
      <c r="B401" s="63" t="s">
        <v>1788</v>
      </c>
      <c r="C401" s="79" t="s">
        <v>8434</v>
      </c>
    </row>
    <row r="402" spans="1:3" x14ac:dyDescent="0.25">
      <c r="A402" s="62" t="s">
        <v>1789</v>
      </c>
      <c r="B402" s="63" t="s">
        <v>1790</v>
      </c>
      <c r="C402" s="79" t="s">
        <v>8434</v>
      </c>
    </row>
    <row r="403" spans="1:3" ht="31.5" x14ac:dyDescent="0.25">
      <c r="A403" s="62" t="s">
        <v>1791</v>
      </c>
      <c r="B403" s="63" t="s">
        <v>1792</v>
      </c>
      <c r="C403" s="79" t="s">
        <v>8434</v>
      </c>
    </row>
    <row r="404" spans="1:3" ht="31.5" x14ac:dyDescent="0.25">
      <c r="A404" s="62" t="s">
        <v>1793</v>
      </c>
      <c r="B404" s="63" t="s">
        <v>1794</v>
      </c>
      <c r="C404" s="79" t="s">
        <v>8434</v>
      </c>
    </row>
    <row r="405" spans="1:3" ht="31.5" x14ac:dyDescent="0.25">
      <c r="A405" s="62" t="s">
        <v>1795</v>
      </c>
      <c r="B405" s="63" t="s">
        <v>1796</v>
      </c>
      <c r="C405" s="79" t="s">
        <v>8434</v>
      </c>
    </row>
    <row r="406" spans="1:3" ht="31.5" x14ac:dyDescent="0.25">
      <c r="A406" s="62" t="s">
        <v>1797</v>
      </c>
      <c r="B406" s="63" t="s">
        <v>1798</v>
      </c>
      <c r="C406" s="79" t="s">
        <v>8434</v>
      </c>
    </row>
    <row r="407" spans="1:3" x14ac:dyDescent="0.25">
      <c r="A407" s="62" t="s">
        <v>1799</v>
      </c>
      <c r="B407" s="63" t="s">
        <v>1800</v>
      </c>
      <c r="C407" s="79" t="s">
        <v>8471</v>
      </c>
    </row>
    <row r="408" spans="1:3" ht="31.5" x14ac:dyDescent="0.25">
      <c r="A408" s="62" t="s">
        <v>1801</v>
      </c>
      <c r="B408" s="63" t="s">
        <v>1802</v>
      </c>
      <c r="C408" s="79" t="s">
        <v>8471</v>
      </c>
    </row>
    <row r="409" spans="1:3" ht="31.5" x14ac:dyDescent="0.25">
      <c r="A409" s="62" t="s">
        <v>1803</v>
      </c>
      <c r="B409" s="63" t="s">
        <v>1804</v>
      </c>
      <c r="C409" s="79" t="s">
        <v>8434</v>
      </c>
    </row>
    <row r="410" spans="1:3" x14ac:dyDescent="0.25">
      <c r="A410" s="62" t="s">
        <v>1805</v>
      </c>
      <c r="B410" s="63" t="s">
        <v>1806</v>
      </c>
      <c r="C410" s="79" t="s">
        <v>8434</v>
      </c>
    </row>
    <row r="411" spans="1:3" x14ac:dyDescent="0.25">
      <c r="A411" s="62" t="s">
        <v>1807</v>
      </c>
      <c r="B411" s="63" t="s">
        <v>1808</v>
      </c>
      <c r="C411" s="79" t="s">
        <v>8434</v>
      </c>
    </row>
    <row r="412" spans="1:3" x14ac:dyDescent="0.25">
      <c r="A412" s="62" t="s">
        <v>1809</v>
      </c>
      <c r="B412" s="63" t="s">
        <v>1810</v>
      </c>
      <c r="C412" s="79" t="s">
        <v>8471</v>
      </c>
    </row>
    <row r="413" spans="1:3" ht="31.5" x14ac:dyDescent="0.25">
      <c r="A413" s="62" t="s">
        <v>1811</v>
      </c>
      <c r="B413" s="63" t="s">
        <v>1812</v>
      </c>
      <c r="C413" s="79" t="s">
        <v>8471</v>
      </c>
    </row>
    <row r="414" spans="1:3" ht="31.5" x14ac:dyDescent="0.25">
      <c r="A414" s="62" t="s">
        <v>1813</v>
      </c>
      <c r="B414" s="63" t="s">
        <v>1814</v>
      </c>
      <c r="C414" s="79" t="s">
        <v>8434</v>
      </c>
    </row>
    <row r="415" spans="1:3" ht="31.5" x14ac:dyDescent="0.25">
      <c r="A415" s="62" t="s">
        <v>1815</v>
      </c>
      <c r="B415" s="63" t="s">
        <v>1816</v>
      </c>
      <c r="C415" s="79" t="s">
        <v>8434</v>
      </c>
    </row>
    <row r="416" spans="1:3" ht="31.5" x14ac:dyDescent="0.25">
      <c r="A416" s="62" t="s">
        <v>1817</v>
      </c>
      <c r="B416" s="63" t="s">
        <v>1818</v>
      </c>
      <c r="C416" s="79" t="s">
        <v>8469</v>
      </c>
    </row>
    <row r="417" spans="1:3" x14ac:dyDescent="0.25">
      <c r="A417" s="62" t="s">
        <v>1819</v>
      </c>
      <c r="B417" s="63" t="s">
        <v>1820</v>
      </c>
      <c r="C417" s="79" t="s">
        <v>8469</v>
      </c>
    </row>
    <row r="418" spans="1:3" ht="31.5" x14ac:dyDescent="0.25">
      <c r="A418" s="62" t="s">
        <v>1821</v>
      </c>
      <c r="B418" s="63" t="s">
        <v>1822</v>
      </c>
      <c r="C418" s="79" t="s">
        <v>8469</v>
      </c>
    </row>
    <row r="419" spans="1:3" ht="31.5" x14ac:dyDescent="0.25">
      <c r="A419" s="62" t="s">
        <v>1823</v>
      </c>
      <c r="B419" s="63" t="s">
        <v>1824</v>
      </c>
      <c r="C419" s="79" t="s">
        <v>8469</v>
      </c>
    </row>
    <row r="420" spans="1:3" ht="31.5" x14ac:dyDescent="0.25">
      <c r="A420" s="62" t="s">
        <v>1825</v>
      </c>
      <c r="B420" s="63" t="s">
        <v>1826</v>
      </c>
      <c r="C420" s="79" t="s">
        <v>8469</v>
      </c>
    </row>
    <row r="421" spans="1:3" ht="31.5" x14ac:dyDescent="0.25">
      <c r="A421" s="62" t="s">
        <v>1827</v>
      </c>
      <c r="B421" s="63" t="s">
        <v>1828</v>
      </c>
      <c r="C421" s="79" t="s">
        <v>8469</v>
      </c>
    </row>
    <row r="422" spans="1:3" ht="31.5" x14ac:dyDescent="0.25">
      <c r="A422" s="62" t="s">
        <v>1829</v>
      </c>
      <c r="B422" s="63" t="s">
        <v>1830</v>
      </c>
      <c r="C422" s="79" t="s">
        <v>8472</v>
      </c>
    </row>
    <row r="423" spans="1:3" ht="31.5" x14ac:dyDescent="0.25">
      <c r="A423" s="62" t="s">
        <v>1831</v>
      </c>
      <c r="B423" s="63" t="s">
        <v>1832</v>
      </c>
      <c r="C423" s="79" t="s">
        <v>8469</v>
      </c>
    </row>
    <row r="424" spans="1:3" ht="31.5" x14ac:dyDescent="0.25">
      <c r="A424" s="62" t="s">
        <v>1833</v>
      </c>
      <c r="B424" s="63" t="s">
        <v>1834</v>
      </c>
      <c r="C424" s="79" t="s">
        <v>8469</v>
      </c>
    </row>
    <row r="425" spans="1:3" ht="18" x14ac:dyDescent="0.25">
      <c r="A425" s="182"/>
      <c r="B425" s="182" t="s">
        <v>8473</v>
      </c>
      <c r="C425" s="183"/>
    </row>
    <row r="426" spans="1:3" ht="31.5" x14ac:dyDescent="0.25">
      <c r="A426" s="62" t="s">
        <v>1835</v>
      </c>
      <c r="B426" s="63" t="s">
        <v>1836</v>
      </c>
      <c r="C426" s="79" t="s">
        <v>8424</v>
      </c>
    </row>
    <row r="427" spans="1:3" ht="31.5" x14ac:dyDescent="0.25">
      <c r="A427" s="62" t="s">
        <v>1837</v>
      </c>
      <c r="B427" s="63" t="s">
        <v>1838</v>
      </c>
      <c r="C427" s="79" t="s">
        <v>8474</v>
      </c>
    </row>
    <row r="428" spans="1:3" ht="31.5" x14ac:dyDescent="0.25">
      <c r="A428" s="62" t="s">
        <v>1839</v>
      </c>
      <c r="B428" s="63" t="s">
        <v>1840</v>
      </c>
      <c r="C428" s="79" t="s">
        <v>8474</v>
      </c>
    </row>
    <row r="429" spans="1:3" ht="31.5" x14ac:dyDescent="0.25">
      <c r="A429" s="62" t="s">
        <v>1841</v>
      </c>
      <c r="B429" s="63" t="s">
        <v>1842</v>
      </c>
      <c r="C429" s="79" t="s">
        <v>8474</v>
      </c>
    </row>
    <row r="430" spans="1:3" ht="31.5" x14ac:dyDescent="0.25">
      <c r="A430" s="62" t="s">
        <v>1843</v>
      </c>
      <c r="B430" s="63" t="s">
        <v>1844</v>
      </c>
      <c r="C430" s="79" t="s">
        <v>8474</v>
      </c>
    </row>
    <row r="431" spans="1:3" ht="31.5" x14ac:dyDescent="0.25">
      <c r="A431" s="62" t="s">
        <v>1845</v>
      </c>
      <c r="B431" s="63" t="s">
        <v>1846</v>
      </c>
      <c r="C431" s="79" t="s">
        <v>8424</v>
      </c>
    </row>
    <row r="432" spans="1:3" ht="31.5" x14ac:dyDescent="0.25">
      <c r="A432" s="62" t="s">
        <v>1847</v>
      </c>
      <c r="B432" s="63" t="s">
        <v>1848</v>
      </c>
      <c r="C432" s="79" t="s">
        <v>8475</v>
      </c>
    </row>
    <row r="433" spans="1:3" ht="31.5" x14ac:dyDescent="0.25">
      <c r="A433" s="62" t="s">
        <v>1849</v>
      </c>
      <c r="B433" s="63" t="s">
        <v>1850</v>
      </c>
      <c r="C433" s="79" t="s">
        <v>8476</v>
      </c>
    </row>
    <row r="434" spans="1:3" ht="31.5" x14ac:dyDescent="0.25">
      <c r="A434" s="62" t="s">
        <v>1851</v>
      </c>
      <c r="B434" s="63" t="s">
        <v>1852</v>
      </c>
      <c r="C434" s="79" t="s">
        <v>8476</v>
      </c>
    </row>
    <row r="435" spans="1:3" ht="31.5" x14ac:dyDescent="0.25">
      <c r="A435" s="62" t="s">
        <v>1853</v>
      </c>
      <c r="B435" s="63" t="s">
        <v>1854</v>
      </c>
      <c r="C435" s="79" t="s">
        <v>8476</v>
      </c>
    </row>
    <row r="436" spans="1:3" ht="31.5" x14ac:dyDescent="0.25">
      <c r="A436" s="62" t="s">
        <v>1855</v>
      </c>
      <c r="B436" s="63" t="s">
        <v>1856</v>
      </c>
      <c r="C436" s="79" t="s">
        <v>8476</v>
      </c>
    </row>
    <row r="437" spans="1:3" ht="31.5" x14ac:dyDescent="0.25">
      <c r="A437" s="62" t="s">
        <v>1857</v>
      </c>
      <c r="B437" s="63" t="s">
        <v>1858</v>
      </c>
      <c r="C437" s="79" t="s">
        <v>8475</v>
      </c>
    </row>
    <row r="438" spans="1:3" x14ac:dyDescent="0.25">
      <c r="A438" s="64"/>
      <c r="B438" s="64" t="s">
        <v>8477</v>
      </c>
      <c r="C438" s="80"/>
    </row>
    <row r="439" spans="1:3" ht="18" x14ac:dyDescent="0.25">
      <c r="A439" s="182"/>
      <c r="B439" s="182" t="s">
        <v>8478</v>
      </c>
      <c r="C439" s="183"/>
    </row>
    <row r="440" spans="1:3" x14ac:dyDescent="0.25">
      <c r="A440" s="62" t="s">
        <v>1859</v>
      </c>
      <c r="B440" s="63" t="s">
        <v>1860</v>
      </c>
      <c r="C440" s="79" t="s">
        <v>8479</v>
      </c>
    </row>
    <row r="441" spans="1:3" ht="18" x14ac:dyDescent="0.25">
      <c r="A441" s="182"/>
      <c r="B441" s="182" t="s">
        <v>8480</v>
      </c>
      <c r="C441" s="183"/>
    </row>
    <row r="442" spans="1:3" x14ac:dyDescent="0.25">
      <c r="A442" s="62" t="s">
        <v>1861</v>
      </c>
      <c r="B442" s="63" t="s">
        <v>1862</v>
      </c>
      <c r="C442" s="79" t="s">
        <v>8481</v>
      </c>
    </row>
    <row r="443" spans="1:3" ht="18" x14ac:dyDescent="0.25">
      <c r="A443" s="182"/>
      <c r="B443" s="182" t="s">
        <v>8482</v>
      </c>
      <c r="C443" s="183"/>
    </row>
    <row r="444" spans="1:3" x14ac:dyDescent="0.25">
      <c r="A444" s="62" t="s">
        <v>1863</v>
      </c>
      <c r="B444" s="63" t="s">
        <v>1864</v>
      </c>
      <c r="C444" s="79" t="s">
        <v>8481</v>
      </c>
    </row>
    <row r="445" spans="1:3" x14ac:dyDescent="0.25">
      <c r="A445" s="64"/>
      <c r="B445" s="64" t="s">
        <v>8483</v>
      </c>
      <c r="C445" s="80"/>
    </row>
    <row r="446" spans="1:3" ht="18" x14ac:dyDescent="0.25">
      <c r="A446" s="182"/>
      <c r="B446" s="182" t="s">
        <v>8484</v>
      </c>
      <c r="C446" s="183"/>
    </row>
    <row r="447" spans="1:3" ht="31.5" x14ac:dyDescent="0.25">
      <c r="A447" s="62" t="s">
        <v>1865</v>
      </c>
      <c r="B447" s="63" t="s">
        <v>1866</v>
      </c>
      <c r="C447" s="79" t="s">
        <v>8485</v>
      </c>
    </row>
    <row r="448" spans="1:3" ht="31.5" x14ac:dyDescent="0.25">
      <c r="A448" s="62" t="s">
        <v>1867</v>
      </c>
      <c r="B448" s="63" t="s">
        <v>1868</v>
      </c>
      <c r="C448" s="79" t="s">
        <v>8479</v>
      </c>
    </row>
    <row r="449" spans="1:3" ht="31.5" x14ac:dyDescent="0.25">
      <c r="A449" s="62" t="s">
        <v>1869</v>
      </c>
      <c r="B449" s="63" t="s">
        <v>1870</v>
      </c>
      <c r="C449" s="79" t="s">
        <v>8485</v>
      </c>
    </row>
    <row r="450" spans="1:3" ht="31.5" x14ac:dyDescent="0.25">
      <c r="A450" s="62" t="s">
        <v>1871</v>
      </c>
      <c r="B450" s="63" t="s">
        <v>1872</v>
      </c>
      <c r="C450" s="79" t="s">
        <v>8485</v>
      </c>
    </row>
    <row r="451" spans="1:3" ht="31.5" x14ac:dyDescent="0.25">
      <c r="A451" s="62" t="s">
        <v>1873</v>
      </c>
      <c r="B451" s="63" t="s">
        <v>1874</v>
      </c>
      <c r="C451" s="79" t="s">
        <v>8479</v>
      </c>
    </row>
    <row r="452" spans="1:3" ht="31.5" x14ac:dyDescent="0.25">
      <c r="A452" s="62" t="s">
        <v>1875</v>
      </c>
      <c r="B452" s="63" t="s">
        <v>1876</v>
      </c>
      <c r="C452" s="79" t="s">
        <v>8485</v>
      </c>
    </row>
    <row r="453" spans="1:3" ht="31.5" x14ac:dyDescent="0.25">
      <c r="A453" s="62" t="s">
        <v>1877</v>
      </c>
      <c r="B453" s="63" t="s">
        <v>1878</v>
      </c>
      <c r="C453" s="79" t="s">
        <v>8479</v>
      </c>
    </row>
    <row r="454" spans="1:3" ht="31.5" x14ac:dyDescent="0.25">
      <c r="A454" s="62" t="s">
        <v>1879</v>
      </c>
      <c r="B454" s="63" t="s">
        <v>1880</v>
      </c>
      <c r="C454" s="79" t="s">
        <v>8485</v>
      </c>
    </row>
    <row r="455" spans="1:3" ht="31.5" x14ac:dyDescent="0.25">
      <c r="A455" s="62" t="s">
        <v>1881</v>
      </c>
      <c r="B455" s="63" t="s">
        <v>1882</v>
      </c>
      <c r="C455" s="79" t="s">
        <v>8485</v>
      </c>
    </row>
    <row r="456" spans="1:3" ht="31.5" x14ac:dyDescent="0.25">
      <c r="A456" s="62" t="s">
        <v>1883</v>
      </c>
      <c r="B456" s="63" t="s">
        <v>1884</v>
      </c>
      <c r="C456" s="79" t="s">
        <v>8485</v>
      </c>
    </row>
    <row r="457" spans="1:3" ht="31.5" x14ac:dyDescent="0.25">
      <c r="A457" s="62" t="s">
        <v>1885</v>
      </c>
      <c r="B457" s="63" t="s">
        <v>1886</v>
      </c>
      <c r="C457" s="79" t="s">
        <v>8479</v>
      </c>
    </row>
    <row r="458" spans="1:3" ht="31.5" x14ac:dyDescent="0.25">
      <c r="A458" s="62" t="s">
        <v>1887</v>
      </c>
      <c r="B458" s="63" t="s">
        <v>1888</v>
      </c>
      <c r="C458" s="79" t="s">
        <v>8479</v>
      </c>
    </row>
    <row r="459" spans="1:3" ht="18" x14ac:dyDescent="0.25">
      <c r="A459" s="182"/>
      <c r="B459" s="182" t="s">
        <v>8486</v>
      </c>
      <c r="C459" s="183"/>
    </row>
    <row r="460" spans="1:3" ht="31.5" x14ac:dyDescent="0.25">
      <c r="A460" s="62" t="s">
        <v>1889</v>
      </c>
      <c r="B460" s="63" t="s">
        <v>1890</v>
      </c>
      <c r="C460" s="79" t="s">
        <v>8487</v>
      </c>
    </row>
    <row r="461" spans="1:3" ht="31.5" x14ac:dyDescent="0.25">
      <c r="A461" s="62" t="s">
        <v>1891</v>
      </c>
      <c r="B461" s="63" t="s">
        <v>1892</v>
      </c>
      <c r="C461" s="79" t="s">
        <v>8487</v>
      </c>
    </row>
    <row r="462" spans="1:3" ht="31.5" x14ac:dyDescent="0.25">
      <c r="A462" s="62" t="s">
        <v>1893</v>
      </c>
      <c r="B462" s="63" t="s">
        <v>1894</v>
      </c>
      <c r="C462" s="79" t="s">
        <v>8487</v>
      </c>
    </row>
    <row r="463" spans="1:3" ht="18" x14ac:dyDescent="0.25">
      <c r="A463" s="182"/>
      <c r="B463" s="182" t="s">
        <v>8488</v>
      </c>
      <c r="C463" s="183"/>
    </row>
    <row r="464" spans="1:3" ht="31.5" x14ac:dyDescent="0.25">
      <c r="A464" s="62" t="s">
        <v>1895</v>
      </c>
      <c r="B464" s="63" t="s">
        <v>1896</v>
      </c>
      <c r="C464" s="79" t="s">
        <v>8489</v>
      </c>
    </row>
    <row r="465" spans="1:3" x14ac:dyDescent="0.25">
      <c r="A465" s="62" t="s">
        <v>1897</v>
      </c>
      <c r="B465" s="63" t="s">
        <v>1898</v>
      </c>
      <c r="C465" s="79" t="s">
        <v>8489</v>
      </c>
    </row>
    <row r="466" spans="1:3" ht="18" x14ac:dyDescent="0.25">
      <c r="A466" s="182"/>
      <c r="B466" s="182" t="s">
        <v>8490</v>
      </c>
      <c r="C466" s="183"/>
    </row>
    <row r="467" spans="1:3" x14ac:dyDescent="0.25">
      <c r="A467" s="62" t="s">
        <v>1899</v>
      </c>
      <c r="B467" s="63" t="s">
        <v>1900</v>
      </c>
      <c r="C467" s="79" t="s">
        <v>8489</v>
      </c>
    </row>
    <row r="468" spans="1:3" x14ac:dyDescent="0.25">
      <c r="A468" s="62" t="s">
        <v>1901</v>
      </c>
      <c r="B468" s="63" t="s">
        <v>1902</v>
      </c>
      <c r="C468" s="79" t="s">
        <v>8489</v>
      </c>
    </row>
    <row r="469" spans="1:3" x14ac:dyDescent="0.25">
      <c r="A469" s="62" t="s">
        <v>1903</v>
      </c>
      <c r="B469" s="63" t="s">
        <v>1904</v>
      </c>
      <c r="C469" s="79" t="s">
        <v>8489</v>
      </c>
    </row>
    <row r="470" spans="1:3" x14ac:dyDescent="0.25">
      <c r="A470" s="62" t="s">
        <v>1905</v>
      </c>
      <c r="B470" s="63" t="s">
        <v>1906</v>
      </c>
      <c r="C470" s="79" t="s">
        <v>8489</v>
      </c>
    </row>
    <row r="471" spans="1:3" ht="18" x14ac:dyDescent="0.25">
      <c r="A471" s="182"/>
      <c r="B471" s="182" t="s">
        <v>8491</v>
      </c>
      <c r="C471" s="183"/>
    </row>
    <row r="472" spans="1:3" x14ac:dyDescent="0.25">
      <c r="A472" s="62" t="s">
        <v>1907</v>
      </c>
      <c r="B472" s="63" t="s">
        <v>1908</v>
      </c>
      <c r="C472" s="79" t="s">
        <v>8492</v>
      </c>
    </row>
    <row r="473" spans="1:3" x14ac:dyDescent="0.25">
      <c r="A473" s="62" t="s">
        <v>1909</v>
      </c>
      <c r="B473" s="63" t="s">
        <v>1910</v>
      </c>
      <c r="C473" s="79" t="s">
        <v>8492</v>
      </c>
    </row>
    <row r="474" spans="1:3" x14ac:dyDescent="0.25">
      <c r="A474" s="62" t="s">
        <v>1911</v>
      </c>
      <c r="B474" s="63" t="s">
        <v>1912</v>
      </c>
      <c r="C474" s="79" t="s">
        <v>8493</v>
      </c>
    </row>
    <row r="475" spans="1:3" x14ac:dyDescent="0.25">
      <c r="A475" s="62" t="s">
        <v>1913</v>
      </c>
      <c r="B475" s="63" t="s">
        <v>1914</v>
      </c>
      <c r="C475" s="79" t="s">
        <v>8493</v>
      </c>
    </row>
    <row r="476" spans="1:3" x14ac:dyDescent="0.25">
      <c r="A476" s="62" t="s">
        <v>1915</v>
      </c>
      <c r="B476" s="63" t="s">
        <v>1916</v>
      </c>
      <c r="C476" s="79" t="s">
        <v>8493</v>
      </c>
    </row>
    <row r="477" spans="1:3" x14ac:dyDescent="0.25">
      <c r="A477" s="62" t="s">
        <v>1917</v>
      </c>
      <c r="B477" s="63" t="s">
        <v>1918</v>
      </c>
      <c r="C477" s="79" t="s">
        <v>8492</v>
      </c>
    </row>
    <row r="478" spans="1:3" x14ac:dyDescent="0.25">
      <c r="A478" s="62" t="s">
        <v>1919</v>
      </c>
      <c r="B478" s="63" t="s">
        <v>1920</v>
      </c>
      <c r="C478" s="79" t="s">
        <v>8493</v>
      </c>
    </row>
    <row r="479" spans="1:3" x14ac:dyDescent="0.25">
      <c r="A479" s="62" t="s">
        <v>1921</v>
      </c>
      <c r="B479" s="63" t="s">
        <v>1922</v>
      </c>
      <c r="C479" s="79" t="s">
        <v>8492</v>
      </c>
    </row>
    <row r="480" spans="1:3" x14ac:dyDescent="0.25">
      <c r="A480" s="62" t="s">
        <v>1923</v>
      </c>
      <c r="B480" s="63" t="s">
        <v>1924</v>
      </c>
      <c r="C480" s="79" t="s">
        <v>8493</v>
      </c>
    </row>
    <row r="481" spans="1:3" x14ac:dyDescent="0.25">
      <c r="A481" s="62" t="s">
        <v>1925</v>
      </c>
      <c r="B481" s="63" t="s">
        <v>1926</v>
      </c>
      <c r="C481" s="79" t="s">
        <v>8493</v>
      </c>
    </row>
    <row r="482" spans="1:3" x14ac:dyDescent="0.25">
      <c r="A482" s="62" t="s">
        <v>1927</v>
      </c>
      <c r="B482" s="63" t="s">
        <v>1928</v>
      </c>
      <c r="C482" s="79" t="s">
        <v>8493</v>
      </c>
    </row>
    <row r="483" spans="1:3" x14ac:dyDescent="0.25">
      <c r="A483" s="62" t="s">
        <v>1929</v>
      </c>
      <c r="B483" s="63" t="s">
        <v>1930</v>
      </c>
      <c r="C483" s="79" t="s">
        <v>8493</v>
      </c>
    </row>
    <row r="484" spans="1:3" x14ac:dyDescent="0.25">
      <c r="A484" s="62" t="s">
        <v>1931</v>
      </c>
      <c r="B484" s="63" t="s">
        <v>1932</v>
      </c>
      <c r="C484" s="79" t="s">
        <v>8493</v>
      </c>
    </row>
    <row r="485" spans="1:3" x14ac:dyDescent="0.25">
      <c r="A485" s="62" t="s">
        <v>1933</v>
      </c>
      <c r="B485" s="63" t="s">
        <v>1934</v>
      </c>
      <c r="C485" s="79" t="s">
        <v>8493</v>
      </c>
    </row>
    <row r="486" spans="1:3" x14ac:dyDescent="0.25">
      <c r="A486" s="62" t="s">
        <v>1935</v>
      </c>
      <c r="B486" s="63" t="s">
        <v>1936</v>
      </c>
      <c r="C486" s="79" t="s">
        <v>8492</v>
      </c>
    </row>
    <row r="487" spans="1:3" x14ac:dyDescent="0.25">
      <c r="A487" s="62" t="s">
        <v>1937</v>
      </c>
      <c r="B487" s="63" t="s">
        <v>1938</v>
      </c>
      <c r="C487" s="79" t="s">
        <v>8492</v>
      </c>
    </row>
    <row r="488" spans="1:3" x14ac:dyDescent="0.25">
      <c r="A488" s="62" t="s">
        <v>1939</v>
      </c>
      <c r="B488" s="63" t="s">
        <v>1940</v>
      </c>
      <c r="C488" s="79" t="s">
        <v>8492</v>
      </c>
    </row>
    <row r="489" spans="1:3" x14ac:dyDescent="0.25">
      <c r="A489" s="62" t="s">
        <v>1941</v>
      </c>
      <c r="B489" s="63" t="s">
        <v>1942</v>
      </c>
      <c r="C489" s="79" t="s">
        <v>8493</v>
      </c>
    </row>
    <row r="490" spans="1:3" x14ac:dyDescent="0.25">
      <c r="A490" s="62" t="s">
        <v>1943</v>
      </c>
      <c r="B490" s="63" t="s">
        <v>1944</v>
      </c>
      <c r="C490" s="79" t="s">
        <v>8493</v>
      </c>
    </row>
    <row r="491" spans="1:3" x14ac:dyDescent="0.25">
      <c r="A491" s="62" t="s">
        <v>1945</v>
      </c>
      <c r="B491" s="63" t="s">
        <v>1946</v>
      </c>
      <c r="C491" s="79" t="s">
        <v>8493</v>
      </c>
    </row>
    <row r="492" spans="1:3" x14ac:dyDescent="0.25">
      <c r="A492" s="62" t="s">
        <v>1947</v>
      </c>
      <c r="B492" s="63" t="s">
        <v>1948</v>
      </c>
      <c r="C492" s="79" t="s">
        <v>8493</v>
      </c>
    </row>
    <row r="493" spans="1:3" x14ac:dyDescent="0.25">
      <c r="A493" s="62" t="s">
        <v>1949</v>
      </c>
      <c r="B493" s="63" t="s">
        <v>1950</v>
      </c>
      <c r="C493" s="79" t="s">
        <v>8493</v>
      </c>
    </row>
    <row r="494" spans="1:3" x14ac:dyDescent="0.25">
      <c r="A494" s="62" t="s">
        <v>1951</v>
      </c>
      <c r="B494" s="63" t="s">
        <v>1952</v>
      </c>
      <c r="C494" s="79" t="s">
        <v>8493</v>
      </c>
    </row>
    <row r="495" spans="1:3" x14ac:dyDescent="0.25">
      <c r="A495" s="62" t="s">
        <v>1953</v>
      </c>
      <c r="B495" s="63" t="s">
        <v>1954</v>
      </c>
      <c r="C495" s="79" t="s">
        <v>8492</v>
      </c>
    </row>
    <row r="496" spans="1:3" x14ac:dyDescent="0.25">
      <c r="A496" s="62" t="s">
        <v>1955</v>
      </c>
      <c r="B496" s="63" t="s">
        <v>1956</v>
      </c>
      <c r="C496" s="79" t="s">
        <v>8493</v>
      </c>
    </row>
    <row r="497" spans="1:3" x14ac:dyDescent="0.25">
      <c r="A497" s="62" t="s">
        <v>1957</v>
      </c>
      <c r="B497" s="63" t="s">
        <v>1958</v>
      </c>
      <c r="C497" s="79" t="s">
        <v>8493</v>
      </c>
    </row>
    <row r="498" spans="1:3" x14ac:dyDescent="0.25">
      <c r="A498" s="62" t="s">
        <v>1959</v>
      </c>
      <c r="B498" s="63" t="s">
        <v>1960</v>
      </c>
      <c r="C498" s="79" t="s">
        <v>8493</v>
      </c>
    </row>
    <row r="499" spans="1:3" x14ac:dyDescent="0.25">
      <c r="A499" s="62" t="s">
        <v>1961</v>
      </c>
      <c r="B499" s="63" t="s">
        <v>1962</v>
      </c>
      <c r="C499" s="79" t="s">
        <v>8493</v>
      </c>
    </row>
    <row r="500" spans="1:3" x14ac:dyDescent="0.25">
      <c r="A500" s="62" t="s">
        <v>1963</v>
      </c>
      <c r="B500" s="63" t="s">
        <v>1964</v>
      </c>
      <c r="C500" s="79" t="s">
        <v>8493</v>
      </c>
    </row>
    <row r="501" spans="1:3" x14ac:dyDescent="0.25">
      <c r="A501" s="62" t="s">
        <v>1965</v>
      </c>
      <c r="B501" s="63" t="s">
        <v>1966</v>
      </c>
      <c r="C501" s="79" t="s">
        <v>8493</v>
      </c>
    </row>
    <row r="502" spans="1:3" x14ac:dyDescent="0.25">
      <c r="A502" s="62" t="s">
        <v>1967</v>
      </c>
      <c r="B502" s="63" t="s">
        <v>1968</v>
      </c>
      <c r="C502" s="79" t="s">
        <v>8493</v>
      </c>
    </row>
    <row r="503" spans="1:3" x14ac:dyDescent="0.25">
      <c r="A503" s="62" t="s">
        <v>1969</v>
      </c>
      <c r="B503" s="63" t="s">
        <v>1970</v>
      </c>
      <c r="C503" s="79" t="s">
        <v>8493</v>
      </c>
    </row>
    <row r="504" spans="1:3" x14ac:dyDescent="0.25">
      <c r="A504" s="62" t="s">
        <v>1971</v>
      </c>
      <c r="B504" s="63" t="s">
        <v>1972</v>
      </c>
      <c r="C504" s="79" t="s">
        <v>8492</v>
      </c>
    </row>
    <row r="505" spans="1:3" x14ac:dyDescent="0.25">
      <c r="A505" s="62" t="s">
        <v>1973</v>
      </c>
      <c r="B505" s="63" t="s">
        <v>1974</v>
      </c>
      <c r="C505" s="79" t="s">
        <v>8493</v>
      </c>
    </row>
    <row r="506" spans="1:3" x14ac:dyDescent="0.25">
      <c r="A506" s="62" t="s">
        <v>1975</v>
      </c>
      <c r="B506" s="63" t="s">
        <v>1976</v>
      </c>
      <c r="C506" s="79" t="s">
        <v>8493</v>
      </c>
    </row>
    <row r="507" spans="1:3" x14ac:dyDescent="0.25">
      <c r="A507" s="62" t="s">
        <v>1977</v>
      </c>
      <c r="B507" s="63" t="s">
        <v>1978</v>
      </c>
      <c r="C507" s="79" t="s">
        <v>8493</v>
      </c>
    </row>
    <row r="508" spans="1:3" x14ac:dyDescent="0.25">
      <c r="A508" s="62" t="s">
        <v>1979</v>
      </c>
      <c r="B508" s="63" t="s">
        <v>1980</v>
      </c>
      <c r="C508" s="79" t="s">
        <v>8493</v>
      </c>
    </row>
    <row r="509" spans="1:3" x14ac:dyDescent="0.25">
      <c r="A509" s="62" t="s">
        <v>1981</v>
      </c>
      <c r="B509" s="63" t="s">
        <v>1982</v>
      </c>
      <c r="C509" s="79" t="s">
        <v>8493</v>
      </c>
    </row>
    <row r="510" spans="1:3" x14ac:dyDescent="0.25">
      <c r="A510" s="62" t="s">
        <v>1983</v>
      </c>
      <c r="B510" s="63" t="s">
        <v>1984</v>
      </c>
      <c r="C510" s="79" t="s">
        <v>8493</v>
      </c>
    </row>
    <row r="511" spans="1:3" x14ac:dyDescent="0.25">
      <c r="A511" s="62" t="s">
        <v>1985</v>
      </c>
      <c r="B511" s="63" t="s">
        <v>1986</v>
      </c>
      <c r="C511" s="79" t="s">
        <v>8492</v>
      </c>
    </row>
    <row r="512" spans="1:3" x14ac:dyDescent="0.25">
      <c r="A512" s="62" t="s">
        <v>1987</v>
      </c>
      <c r="B512" s="63" t="s">
        <v>1988</v>
      </c>
      <c r="C512" s="79" t="s">
        <v>8492</v>
      </c>
    </row>
    <row r="513" spans="1:3" x14ac:dyDescent="0.25">
      <c r="A513" s="62" t="s">
        <v>1989</v>
      </c>
      <c r="B513" s="63" t="s">
        <v>1990</v>
      </c>
      <c r="C513" s="79" t="s">
        <v>8492</v>
      </c>
    </row>
    <row r="514" spans="1:3" x14ac:dyDescent="0.25">
      <c r="A514" s="62" t="s">
        <v>1991</v>
      </c>
      <c r="B514" s="63" t="s">
        <v>1992</v>
      </c>
      <c r="C514" s="79" t="s">
        <v>8493</v>
      </c>
    </row>
    <row r="515" spans="1:3" x14ac:dyDescent="0.25">
      <c r="A515" s="62" t="s">
        <v>1993</v>
      </c>
      <c r="B515" s="63" t="s">
        <v>1994</v>
      </c>
      <c r="C515" s="79" t="s">
        <v>8493</v>
      </c>
    </row>
    <row r="516" spans="1:3" x14ac:dyDescent="0.25">
      <c r="A516" s="62" t="s">
        <v>1995</v>
      </c>
      <c r="B516" s="63" t="s">
        <v>1996</v>
      </c>
      <c r="C516" s="79" t="s">
        <v>8493</v>
      </c>
    </row>
    <row r="517" spans="1:3" x14ac:dyDescent="0.25">
      <c r="A517" s="62" t="s">
        <v>1997</v>
      </c>
      <c r="B517" s="63" t="s">
        <v>1998</v>
      </c>
      <c r="C517" s="79" t="s">
        <v>8493</v>
      </c>
    </row>
    <row r="518" spans="1:3" x14ac:dyDescent="0.25">
      <c r="A518" s="62" t="s">
        <v>1999</v>
      </c>
      <c r="B518" s="63" t="s">
        <v>2000</v>
      </c>
      <c r="C518" s="79" t="s">
        <v>8493</v>
      </c>
    </row>
    <row r="519" spans="1:3" x14ac:dyDescent="0.25">
      <c r="A519" s="62" t="s">
        <v>2001</v>
      </c>
      <c r="B519" s="63" t="s">
        <v>2002</v>
      </c>
      <c r="C519" s="79" t="s">
        <v>8493</v>
      </c>
    </row>
    <row r="520" spans="1:3" x14ac:dyDescent="0.25">
      <c r="A520" s="62" t="s">
        <v>2003</v>
      </c>
      <c r="B520" s="63" t="s">
        <v>2004</v>
      </c>
      <c r="C520" s="79" t="s">
        <v>8492</v>
      </c>
    </row>
    <row r="521" spans="1:3" x14ac:dyDescent="0.25">
      <c r="A521" s="62" t="s">
        <v>2005</v>
      </c>
      <c r="B521" s="63" t="s">
        <v>2006</v>
      </c>
      <c r="C521" s="79" t="s">
        <v>8493</v>
      </c>
    </row>
    <row r="522" spans="1:3" x14ac:dyDescent="0.25">
      <c r="A522" s="62" t="s">
        <v>2007</v>
      </c>
      <c r="B522" s="63" t="s">
        <v>2008</v>
      </c>
      <c r="C522" s="79" t="s">
        <v>8493</v>
      </c>
    </row>
    <row r="523" spans="1:3" x14ac:dyDescent="0.25">
      <c r="A523" s="62" t="s">
        <v>2009</v>
      </c>
      <c r="B523" s="63" t="s">
        <v>2010</v>
      </c>
      <c r="C523" s="79" t="s">
        <v>8493</v>
      </c>
    </row>
    <row r="524" spans="1:3" x14ac:dyDescent="0.25">
      <c r="A524" s="62" t="s">
        <v>2011</v>
      </c>
      <c r="B524" s="63" t="s">
        <v>2012</v>
      </c>
      <c r="C524" s="79" t="s">
        <v>8493</v>
      </c>
    </row>
    <row r="525" spans="1:3" x14ac:dyDescent="0.25">
      <c r="A525" s="62" t="s">
        <v>2013</v>
      </c>
      <c r="B525" s="63" t="s">
        <v>2014</v>
      </c>
      <c r="C525" s="79" t="s">
        <v>8493</v>
      </c>
    </row>
    <row r="526" spans="1:3" x14ac:dyDescent="0.25">
      <c r="A526" s="62" t="s">
        <v>2015</v>
      </c>
      <c r="B526" s="63" t="s">
        <v>2016</v>
      </c>
      <c r="C526" s="79" t="s">
        <v>8493</v>
      </c>
    </row>
    <row r="527" spans="1:3" x14ac:dyDescent="0.25">
      <c r="A527" s="62" t="s">
        <v>2017</v>
      </c>
      <c r="B527" s="63" t="s">
        <v>2018</v>
      </c>
      <c r="C527" s="79" t="s">
        <v>8493</v>
      </c>
    </row>
    <row r="528" spans="1:3" x14ac:dyDescent="0.25">
      <c r="A528" s="62" t="s">
        <v>2019</v>
      </c>
      <c r="B528" s="63" t="s">
        <v>2020</v>
      </c>
      <c r="C528" s="79" t="s">
        <v>8493</v>
      </c>
    </row>
    <row r="529" spans="1:3" x14ac:dyDescent="0.25">
      <c r="A529" s="62" t="s">
        <v>2021</v>
      </c>
      <c r="B529" s="63" t="s">
        <v>2022</v>
      </c>
      <c r="C529" s="79" t="s">
        <v>8492</v>
      </c>
    </row>
    <row r="530" spans="1:3" x14ac:dyDescent="0.25">
      <c r="A530" s="62" t="s">
        <v>2023</v>
      </c>
      <c r="B530" s="63" t="s">
        <v>2024</v>
      </c>
      <c r="C530" s="79" t="s">
        <v>8493</v>
      </c>
    </row>
    <row r="531" spans="1:3" x14ac:dyDescent="0.25">
      <c r="A531" s="62" t="s">
        <v>2025</v>
      </c>
      <c r="B531" s="63" t="s">
        <v>2026</v>
      </c>
      <c r="C531" s="79" t="s">
        <v>8493</v>
      </c>
    </row>
    <row r="532" spans="1:3" x14ac:dyDescent="0.25">
      <c r="A532" s="62" t="s">
        <v>2027</v>
      </c>
      <c r="B532" s="63" t="s">
        <v>2028</v>
      </c>
      <c r="C532" s="79" t="s">
        <v>8493</v>
      </c>
    </row>
    <row r="533" spans="1:3" x14ac:dyDescent="0.25">
      <c r="A533" s="62" t="s">
        <v>2029</v>
      </c>
      <c r="B533" s="63" t="s">
        <v>2030</v>
      </c>
      <c r="C533" s="79" t="s">
        <v>8493</v>
      </c>
    </row>
    <row r="534" spans="1:3" x14ac:dyDescent="0.25">
      <c r="A534" s="62" t="s">
        <v>2031</v>
      </c>
      <c r="B534" s="63" t="s">
        <v>2032</v>
      </c>
      <c r="C534" s="79" t="s">
        <v>8493</v>
      </c>
    </row>
    <row r="535" spans="1:3" x14ac:dyDescent="0.25">
      <c r="A535" s="62" t="s">
        <v>2033</v>
      </c>
      <c r="B535" s="63" t="s">
        <v>2034</v>
      </c>
      <c r="C535" s="79" t="s">
        <v>8493</v>
      </c>
    </row>
    <row r="536" spans="1:3" x14ac:dyDescent="0.25">
      <c r="A536" s="62" t="s">
        <v>2035</v>
      </c>
      <c r="B536" s="63" t="s">
        <v>2036</v>
      </c>
      <c r="C536" s="79" t="s">
        <v>8492</v>
      </c>
    </row>
    <row r="537" spans="1:3" ht="18" x14ac:dyDescent="0.25">
      <c r="A537" s="182"/>
      <c r="B537" s="182" t="s">
        <v>8494</v>
      </c>
      <c r="C537" s="183"/>
    </row>
    <row r="538" spans="1:3" ht="31.5" x14ac:dyDescent="0.25">
      <c r="A538" s="62" t="s">
        <v>2037</v>
      </c>
      <c r="B538" s="63" t="s">
        <v>2038</v>
      </c>
      <c r="C538" s="79" t="s">
        <v>8492</v>
      </c>
    </row>
    <row r="539" spans="1:3" ht="31.5" x14ac:dyDescent="0.25">
      <c r="A539" s="62" t="s">
        <v>2039</v>
      </c>
      <c r="B539" s="63" t="s">
        <v>2040</v>
      </c>
      <c r="C539" s="79" t="s">
        <v>8492</v>
      </c>
    </row>
    <row r="540" spans="1:3" ht="31.5" x14ac:dyDescent="0.25">
      <c r="A540" s="62" t="s">
        <v>2041</v>
      </c>
      <c r="B540" s="63" t="s">
        <v>2042</v>
      </c>
      <c r="C540" s="79" t="s">
        <v>8493</v>
      </c>
    </row>
    <row r="541" spans="1:3" ht="31.5" x14ac:dyDescent="0.25">
      <c r="A541" s="62" t="s">
        <v>2043</v>
      </c>
      <c r="B541" s="63" t="s">
        <v>2044</v>
      </c>
      <c r="C541" s="79" t="s">
        <v>8493</v>
      </c>
    </row>
    <row r="542" spans="1:3" ht="31.5" x14ac:dyDescent="0.25">
      <c r="A542" s="62" t="s">
        <v>2045</v>
      </c>
      <c r="B542" s="63" t="s">
        <v>2046</v>
      </c>
      <c r="C542" s="79" t="s">
        <v>8493</v>
      </c>
    </row>
    <row r="543" spans="1:3" ht="31.5" x14ac:dyDescent="0.25">
      <c r="A543" s="62" t="s">
        <v>2047</v>
      </c>
      <c r="B543" s="63" t="s">
        <v>2048</v>
      </c>
      <c r="C543" s="79" t="s">
        <v>8493</v>
      </c>
    </row>
    <row r="544" spans="1:3" ht="31.5" x14ac:dyDescent="0.25">
      <c r="A544" s="62" t="s">
        <v>2049</v>
      </c>
      <c r="B544" s="63" t="s">
        <v>2050</v>
      </c>
      <c r="C544" s="79" t="s">
        <v>8493</v>
      </c>
    </row>
    <row r="545" spans="1:3" ht="31.5" x14ac:dyDescent="0.25">
      <c r="A545" s="62" t="s">
        <v>2051</v>
      </c>
      <c r="B545" s="63" t="s">
        <v>2052</v>
      </c>
      <c r="C545" s="79" t="s">
        <v>8493</v>
      </c>
    </row>
    <row r="546" spans="1:3" ht="31.5" x14ac:dyDescent="0.25">
      <c r="A546" s="62" t="s">
        <v>2053</v>
      </c>
      <c r="B546" s="63" t="s">
        <v>2054</v>
      </c>
      <c r="C546" s="79" t="s">
        <v>8492</v>
      </c>
    </row>
    <row r="547" spans="1:3" ht="31.5" x14ac:dyDescent="0.25">
      <c r="A547" s="62" t="s">
        <v>2055</v>
      </c>
      <c r="B547" s="63" t="s">
        <v>2056</v>
      </c>
      <c r="C547" s="79" t="s">
        <v>8493</v>
      </c>
    </row>
    <row r="548" spans="1:3" ht="31.5" x14ac:dyDescent="0.25">
      <c r="A548" s="62" t="s">
        <v>2057</v>
      </c>
      <c r="B548" s="63" t="s">
        <v>2058</v>
      </c>
      <c r="C548" s="79" t="s">
        <v>8493</v>
      </c>
    </row>
    <row r="549" spans="1:3" ht="31.5" x14ac:dyDescent="0.25">
      <c r="A549" s="62" t="s">
        <v>2059</v>
      </c>
      <c r="B549" s="63" t="s">
        <v>2060</v>
      </c>
      <c r="C549" s="79" t="s">
        <v>8493</v>
      </c>
    </row>
    <row r="550" spans="1:3" ht="31.5" x14ac:dyDescent="0.25">
      <c r="A550" s="62" t="s">
        <v>2061</v>
      </c>
      <c r="B550" s="63" t="s">
        <v>2062</v>
      </c>
      <c r="C550" s="79" t="s">
        <v>8493</v>
      </c>
    </row>
    <row r="551" spans="1:3" ht="31.5" x14ac:dyDescent="0.25">
      <c r="A551" s="62" t="s">
        <v>2063</v>
      </c>
      <c r="B551" s="63" t="s">
        <v>2064</v>
      </c>
      <c r="C551" s="79" t="s">
        <v>8493</v>
      </c>
    </row>
    <row r="552" spans="1:3" ht="31.5" x14ac:dyDescent="0.25">
      <c r="A552" s="62" t="s">
        <v>2065</v>
      </c>
      <c r="B552" s="63" t="s">
        <v>2066</v>
      </c>
      <c r="C552" s="79" t="s">
        <v>8493</v>
      </c>
    </row>
    <row r="553" spans="1:3" ht="31.5" x14ac:dyDescent="0.25">
      <c r="A553" s="62" t="s">
        <v>2067</v>
      </c>
      <c r="B553" s="63" t="s">
        <v>2068</v>
      </c>
      <c r="C553" s="79" t="s">
        <v>8493</v>
      </c>
    </row>
    <row r="554" spans="1:3" ht="31.5" x14ac:dyDescent="0.25">
      <c r="A554" s="62" t="s">
        <v>2069</v>
      </c>
      <c r="B554" s="63" t="s">
        <v>2070</v>
      </c>
      <c r="C554" s="79" t="s">
        <v>8493</v>
      </c>
    </row>
    <row r="555" spans="1:3" ht="31.5" x14ac:dyDescent="0.25">
      <c r="A555" s="62" t="s">
        <v>2071</v>
      </c>
      <c r="B555" s="63" t="s">
        <v>2072</v>
      </c>
      <c r="C555" s="79" t="s">
        <v>8492</v>
      </c>
    </row>
    <row r="556" spans="1:3" ht="31.5" x14ac:dyDescent="0.25">
      <c r="A556" s="62" t="s">
        <v>2073</v>
      </c>
      <c r="B556" s="63" t="s">
        <v>2074</v>
      </c>
      <c r="C556" s="79" t="s">
        <v>8493</v>
      </c>
    </row>
    <row r="557" spans="1:3" ht="31.5" x14ac:dyDescent="0.25">
      <c r="A557" s="62" t="s">
        <v>2075</v>
      </c>
      <c r="B557" s="63" t="s">
        <v>2076</v>
      </c>
      <c r="C557" s="79" t="s">
        <v>8493</v>
      </c>
    </row>
    <row r="558" spans="1:3" ht="31.5" x14ac:dyDescent="0.25">
      <c r="A558" s="62" t="s">
        <v>2077</v>
      </c>
      <c r="B558" s="63" t="s">
        <v>2078</v>
      </c>
      <c r="C558" s="79" t="s">
        <v>8493</v>
      </c>
    </row>
    <row r="559" spans="1:3" ht="31.5" x14ac:dyDescent="0.25">
      <c r="A559" s="62" t="s">
        <v>2079</v>
      </c>
      <c r="B559" s="63" t="s">
        <v>2080</v>
      </c>
      <c r="C559" s="79" t="s">
        <v>8493</v>
      </c>
    </row>
    <row r="560" spans="1:3" ht="31.5" x14ac:dyDescent="0.25">
      <c r="A560" s="62" t="s">
        <v>2081</v>
      </c>
      <c r="B560" s="63" t="s">
        <v>2082</v>
      </c>
      <c r="C560" s="79" t="s">
        <v>8493</v>
      </c>
    </row>
    <row r="561" spans="1:3" ht="31.5" x14ac:dyDescent="0.25">
      <c r="A561" s="62" t="s">
        <v>2083</v>
      </c>
      <c r="B561" s="63" t="s">
        <v>2084</v>
      </c>
      <c r="C561" s="79" t="s">
        <v>8493</v>
      </c>
    </row>
    <row r="562" spans="1:3" ht="31.5" x14ac:dyDescent="0.25">
      <c r="A562" s="62" t="s">
        <v>2085</v>
      </c>
      <c r="B562" s="63" t="s">
        <v>2086</v>
      </c>
      <c r="C562" s="79" t="s">
        <v>8492</v>
      </c>
    </row>
    <row r="563" spans="1:3" ht="18" x14ac:dyDescent="0.25">
      <c r="A563" s="182"/>
      <c r="B563" s="182" t="s">
        <v>8495</v>
      </c>
      <c r="C563" s="183"/>
    </row>
    <row r="564" spans="1:3" ht="31.5" x14ac:dyDescent="0.25">
      <c r="A564" s="62" t="s">
        <v>2087</v>
      </c>
      <c r="B564" s="63" t="s">
        <v>2088</v>
      </c>
      <c r="C564" s="79" t="s">
        <v>8496</v>
      </c>
    </row>
    <row r="565" spans="1:3" ht="31.5" x14ac:dyDescent="0.25">
      <c r="A565" s="62" t="s">
        <v>2089</v>
      </c>
      <c r="B565" s="63" t="s">
        <v>2090</v>
      </c>
      <c r="C565" s="79" t="s">
        <v>8496</v>
      </c>
    </row>
    <row r="566" spans="1:3" ht="31.5" x14ac:dyDescent="0.25">
      <c r="A566" s="62" t="s">
        <v>2091</v>
      </c>
      <c r="B566" s="63" t="s">
        <v>2092</v>
      </c>
      <c r="C566" s="79" t="s">
        <v>8496</v>
      </c>
    </row>
    <row r="567" spans="1:3" ht="31.5" x14ac:dyDescent="0.25">
      <c r="A567" s="62" t="s">
        <v>2093</v>
      </c>
      <c r="B567" s="63" t="s">
        <v>2094</v>
      </c>
      <c r="C567" s="79" t="s">
        <v>8496</v>
      </c>
    </row>
    <row r="568" spans="1:3" ht="31.5" x14ac:dyDescent="0.25">
      <c r="A568" s="62" t="s">
        <v>2095</v>
      </c>
      <c r="B568" s="63" t="s">
        <v>2096</v>
      </c>
      <c r="C568" s="79" t="s">
        <v>8496</v>
      </c>
    </row>
    <row r="569" spans="1:3" ht="18" x14ac:dyDescent="0.25">
      <c r="A569" s="182"/>
      <c r="B569" s="182" t="s">
        <v>8497</v>
      </c>
      <c r="C569" s="183"/>
    </row>
    <row r="570" spans="1:3" ht="31.5" x14ac:dyDescent="0.25">
      <c r="A570" s="62" t="s">
        <v>2097</v>
      </c>
      <c r="B570" s="63" t="s">
        <v>2098</v>
      </c>
      <c r="C570" s="79" t="s">
        <v>8498</v>
      </c>
    </row>
    <row r="571" spans="1:3" ht="31.5" x14ac:dyDescent="0.25">
      <c r="A571" s="62" t="s">
        <v>2099</v>
      </c>
      <c r="B571" s="63" t="s">
        <v>2100</v>
      </c>
      <c r="C571" s="79" t="s">
        <v>8498</v>
      </c>
    </row>
    <row r="572" spans="1:3" ht="31.5" x14ac:dyDescent="0.25">
      <c r="A572" s="62" t="s">
        <v>2101</v>
      </c>
      <c r="B572" s="63" t="s">
        <v>2102</v>
      </c>
      <c r="C572" s="79" t="s">
        <v>8498</v>
      </c>
    </row>
    <row r="573" spans="1:3" ht="31.5" x14ac:dyDescent="0.25">
      <c r="A573" s="62" t="s">
        <v>2103</v>
      </c>
      <c r="B573" s="63" t="s">
        <v>2104</v>
      </c>
      <c r="C573" s="79" t="s">
        <v>8498</v>
      </c>
    </row>
    <row r="574" spans="1:3" ht="31.5" x14ac:dyDescent="0.25">
      <c r="A574" s="62" t="s">
        <v>2105</v>
      </c>
      <c r="B574" s="63" t="s">
        <v>2106</v>
      </c>
      <c r="C574" s="79" t="s">
        <v>8499</v>
      </c>
    </row>
    <row r="575" spans="1:3" ht="31.5" x14ac:dyDescent="0.25">
      <c r="A575" s="62" t="s">
        <v>2107</v>
      </c>
      <c r="B575" s="63" t="s">
        <v>2108</v>
      </c>
      <c r="C575" s="79" t="s">
        <v>8499</v>
      </c>
    </row>
    <row r="576" spans="1:3" ht="31.5" x14ac:dyDescent="0.25">
      <c r="A576" s="62" t="s">
        <v>2109</v>
      </c>
      <c r="B576" s="63" t="s">
        <v>2110</v>
      </c>
      <c r="C576" s="79" t="s">
        <v>8499</v>
      </c>
    </row>
    <row r="577" spans="1:3" ht="31.5" x14ac:dyDescent="0.25">
      <c r="A577" s="62" t="s">
        <v>2111</v>
      </c>
      <c r="B577" s="63" t="s">
        <v>2112</v>
      </c>
      <c r="C577" s="79" t="s">
        <v>8499</v>
      </c>
    </row>
    <row r="578" spans="1:3" ht="31.5" x14ac:dyDescent="0.25">
      <c r="A578" s="62" t="s">
        <v>2113</v>
      </c>
      <c r="B578" s="63" t="s">
        <v>2114</v>
      </c>
      <c r="C578" s="79" t="s">
        <v>8499</v>
      </c>
    </row>
    <row r="579" spans="1:3" ht="31.5" x14ac:dyDescent="0.25">
      <c r="A579" s="62" t="s">
        <v>2115</v>
      </c>
      <c r="B579" s="63" t="s">
        <v>2116</v>
      </c>
      <c r="C579" s="79" t="s">
        <v>8499</v>
      </c>
    </row>
    <row r="580" spans="1:3" ht="31.5" x14ac:dyDescent="0.25">
      <c r="A580" s="62" t="s">
        <v>2117</v>
      </c>
      <c r="B580" s="63" t="s">
        <v>2118</v>
      </c>
      <c r="C580" s="79" t="s">
        <v>8500</v>
      </c>
    </row>
    <row r="581" spans="1:3" ht="31.5" x14ac:dyDescent="0.25">
      <c r="A581" s="62" t="s">
        <v>2119</v>
      </c>
      <c r="B581" s="63" t="s">
        <v>2120</v>
      </c>
      <c r="C581" s="79" t="s">
        <v>8500</v>
      </c>
    </row>
    <row r="582" spans="1:3" ht="31.5" x14ac:dyDescent="0.25">
      <c r="A582" s="62" t="s">
        <v>2121</v>
      </c>
      <c r="B582" s="63" t="s">
        <v>2122</v>
      </c>
      <c r="C582" s="79" t="s">
        <v>8501</v>
      </c>
    </row>
    <row r="583" spans="1:3" ht="31.5" x14ac:dyDescent="0.25">
      <c r="A583" s="62" t="s">
        <v>2123</v>
      </c>
      <c r="B583" s="63" t="s">
        <v>2124</v>
      </c>
      <c r="C583" s="79" t="s">
        <v>8501</v>
      </c>
    </row>
    <row r="584" spans="1:3" ht="31.5" x14ac:dyDescent="0.25">
      <c r="A584" s="62" t="s">
        <v>2125</v>
      </c>
      <c r="B584" s="63" t="s">
        <v>2126</v>
      </c>
      <c r="C584" s="79" t="s">
        <v>8501</v>
      </c>
    </row>
    <row r="585" spans="1:3" ht="31.5" x14ac:dyDescent="0.25">
      <c r="A585" s="62" t="s">
        <v>2127</v>
      </c>
      <c r="B585" s="63" t="s">
        <v>2128</v>
      </c>
      <c r="C585" s="79" t="s">
        <v>8501</v>
      </c>
    </row>
    <row r="586" spans="1:3" ht="31.5" x14ac:dyDescent="0.25">
      <c r="A586" s="62" t="s">
        <v>2129</v>
      </c>
      <c r="B586" s="63" t="s">
        <v>2130</v>
      </c>
      <c r="C586" s="79" t="s">
        <v>8502</v>
      </c>
    </row>
    <row r="587" spans="1:3" ht="31.5" x14ac:dyDescent="0.25">
      <c r="A587" s="62" t="s">
        <v>2131</v>
      </c>
      <c r="B587" s="63" t="s">
        <v>2132</v>
      </c>
      <c r="C587" s="79" t="s">
        <v>8501</v>
      </c>
    </row>
    <row r="588" spans="1:3" ht="31.5" x14ac:dyDescent="0.25">
      <c r="A588" s="62" t="s">
        <v>2133</v>
      </c>
      <c r="B588" s="63" t="s">
        <v>2134</v>
      </c>
      <c r="C588" s="79" t="s">
        <v>8501</v>
      </c>
    </row>
    <row r="589" spans="1:3" ht="31.5" x14ac:dyDescent="0.25">
      <c r="A589" s="62" t="s">
        <v>2135</v>
      </c>
      <c r="B589" s="63" t="s">
        <v>2136</v>
      </c>
      <c r="C589" s="79" t="s">
        <v>8501</v>
      </c>
    </row>
    <row r="590" spans="1:3" ht="31.5" x14ac:dyDescent="0.25">
      <c r="A590" s="62" t="s">
        <v>2137</v>
      </c>
      <c r="B590" s="63" t="s">
        <v>2138</v>
      </c>
      <c r="C590" s="79" t="s">
        <v>8503</v>
      </c>
    </row>
    <row r="591" spans="1:3" ht="31.5" x14ac:dyDescent="0.25">
      <c r="A591" s="62" t="s">
        <v>2139</v>
      </c>
      <c r="B591" s="63" t="s">
        <v>2140</v>
      </c>
      <c r="C591" s="79" t="s">
        <v>8503</v>
      </c>
    </row>
    <row r="592" spans="1:3" ht="18" x14ac:dyDescent="0.25">
      <c r="A592" s="182"/>
      <c r="B592" s="182" t="s">
        <v>8504</v>
      </c>
      <c r="C592" s="183"/>
    </row>
    <row r="593" spans="1:3" ht="31.5" x14ac:dyDescent="0.25">
      <c r="A593" s="62" t="s">
        <v>2141</v>
      </c>
      <c r="B593" s="63" t="s">
        <v>2142</v>
      </c>
      <c r="C593" s="79" t="s">
        <v>8501</v>
      </c>
    </row>
    <row r="594" spans="1:3" ht="31.5" x14ac:dyDescent="0.25">
      <c r="A594" s="62" t="s">
        <v>2143</v>
      </c>
      <c r="B594" s="63" t="s">
        <v>2144</v>
      </c>
      <c r="C594" s="79" t="s">
        <v>8501</v>
      </c>
    </row>
    <row r="595" spans="1:3" ht="31.5" x14ac:dyDescent="0.25">
      <c r="A595" s="62" t="s">
        <v>2145</v>
      </c>
      <c r="B595" s="63" t="s">
        <v>2146</v>
      </c>
      <c r="C595" s="79" t="s">
        <v>8501</v>
      </c>
    </row>
    <row r="596" spans="1:3" ht="31.5" x14ac:dyDescent="0.25">
      <c r="A596" s="62" t="s">
        <v>2147</v>
      </c>
      <c r="B596" s="63" t="s">
        <v>2148</v>
      </c>
      <c r="C596" s="79" t="s">
        <v>8501</v>
      </c>
    </row>
    <row r="597" spans="1:3" ht="31.5" x14ac:dyDescent="0.25">
      <c r="A597" s="62" t="s">
        <v>2149</v>
      </c>
      <c r="B597" s="63" t="s">
        <v>2150</v>
      </c>
      <c r="C597" s="79" t="s">
        <v>8501</v>
      </c>
    </row>
    <row r="598" spans="1:3" ht="31.5" x14ac:dyDescent="0.25">
      <c r="A598" s="62" t="s">
        <v>2151</v>
      </c>
      <c r="B598" s="63" t="s">
        <v>2152</v>
      </c>
      <c r="C598" s="79" t="s">
        <v>8501</v>
      </c>
    </row>
    <row r="599" spans="1:3" ht="31.5" x14ac:dyDescent="0.25">
      <c r="A599" s="62" t="s">
        <v>2153</v>
      </c>
      <c r="B599" s="63" t="s">
        <v>2154</v>
      </c>
      <c r="C599" s="79" t="s">
        <v>8501</v>
      </c>
    </row>
    <row r="600" spans="1:3" ht="31.5" x14ac:dyDescent="0.25">
      <c r="A600" s="62" t="s">
        <v>2155</v>
      </c>
      <c r="B600" s="63" t="s">
        <v>2156</v>
      </c>
      <c r="C600" s="79" t="s">
        <v>8499</v>
      </c>
    </row>
    <row r="601" spans="1:3" ht="31.5" x14ac:dyDescent="0.25">
      <c r="A601" s="62" t="s">
        <v>2157</v>
      </c>
      <c r="B601" s="63" t="s">
        <v>2158</v>
      </c>
      <c r="C601" s="79" t="s">
        <v>8499</v>
      </c>
    </row>
    <row r="602" spans="1:3" ht="31.5" x14ac:dyDescent="0.25">
      <c r="A602" s="62" t="s">
        <v>2159</v>
      </c>
      <c r="B602" s="63" t="s">
        <v>2160</v>
      </c>
      <c r="C602" s="79" t="s">
        <v>8499</v>
      </c>
    </row>
    <row r="603" spans="1:3" ht="31.5" x14ac:dyDescent="0.25">
      <c r="A603" s="62" t="s">
        <v>2161</v>
      </c>
      <c r="B603" s="63" t="s">
        <v>2162</v>
      </c>
      <c r="C603" s="79" t="s">
        <v>8499</v>
      </c>
    </row>
    <row r="604" spans="1:3" ht="31.5" x14ac:dyDescent="0.25">
      <c r="A604" s="62" t="s">
        <v>2163</v>
      </c>
      <c r="B604" s="63" t="s">
        <v>2164</v>
      </c>
      <c r="C604" s="79" t="s">
        <v>8499</v>
      </c>
    </row>
    <row r="605" spans="1:3" ht="31.5" x14ac:dyDescent="0.25">
      <c r="A605" s="62" t="s">
        <v>2165</v>
      </c>
      <c r="B605" s="63" t="s">
        <v>2166</v>
      </c>
      <c r="C605" s="79" t="s">
        <v>8499</v>
      </c>
    </row>
    <row r="606" spans="1:3" ht="31.5" x14ac:dyDescent="0.25">
      <c r="A606" s="62" t="s">
        <v>2167</v>
      </c>
      <c r="B606" s="63" t="s">
        <v>2168</v>
      </c>
      <c r="C606" s="79" t="s">
        <v>8500</v>
      </c>
    </row>
    <row r="607" spans="1:3" ht="31.5" x14ac:dyDescent="0.25">
      <c r="A607" s="62" t="s">
        <v>2169</v>
      </c>
      <c r="B607" s="63" t="s">
        <v>2170</v>
      </c>
      <c r="C607" s="79" t="s">
        <v>8500</v>
      </c>
    </row>
    <row r="608" spans="1:3" ht="31.5" x14ac:dyDescent="0.25">
      <c r="A608" s="62" t="s">
        <v>2171</v>
      </c>
      <c r="B608" s="63" t="s">
        <v>2172</v>
      </c>
      <c r="C608" s="79" t="s">
        <v>8503</v>
      </c>
    </row>
    <row r="609" spans="1:3" ht="31.5" x14ac:dyDescent="0.25">
      <c r="A609" s="62" t="s">
        <v>2173</v>
      </c>
      <c r="B609" s="63" t="s">
        <v>2174</v>
      </c>
      <c r="C609" s="79" t="s">
        <v>8503</v>
      </c>
    </row>
    <row r="610" spans="1:3" ht="18" x14ac:dyDescent="0.25">
      <c r="A610" s="182"/>
      <c r="B610" s="182" t="s">
        <v>8505</v>
      </c>
      <c r="C610" s="183"/>
    </row>
    <row r="611" spans="1:3" ht="31.5" x14ac:dyDescent="0.25">
      <c r="A611" s="62" t="s">
        <v>2175</v>
      </c>
      <c r="B611" s="63" t="s">
        <v>2176</v>
      </c>
      <c r="C611" s="79" t="s">
        <v>8503</v>
      </c>
    </row>
    <row r="612" spans="1:3" ht="31.5" x14ac:dyDescent="0.25">
      <c r="A612" s="62" t="s">
        <v>2177</v>
      </c>
      <c r="B612" s="63" t="s">
        <v>2178</v>
      </c>
      <c r="C612" s="79" t="s">
        <v>8501</v>
      </c>
    </row>
    <row r="613" spans="1:3" ht="31.5" x14ac:dyDescent="0.25">
      <c r="A613" s="62" t="s">
        <v>2179</v>
      </c>
      <c r="B613" s="63" t="s">
        <v>2180</v>
      </c>
      <c r="C613" s="79" t="s">
        <v>8501</v>
      </c>
    </row>
    <row r="614" spans="1:3" ht="31.5" x14ac:dyDescent="0.25">
      <c r="A614" s="62" t="s">
        <v>2181</v>
      </c>
      <c r="B614" s="63" t="s">
        <v>2182</v>
      </c>
      <c r="C614" s="79" t="s">
        <v>8501</v>
      </c>
    </row>
    <row r="615" spans="1:3" ht="31.5" x14ac:dyDescent="0.25">
      <c r="A615" s="62" t="s">
        <v>2183</v>
      </c>
      <c r="B615" s="63" t="s">
        <v>2184</v>
      </c>
      <c r="C615" s="79" t="s">
        <v>8501</v>
      </c>
    </row>
    <row r="616" spans="1:3" ht="31.5" x14ac:dyDescent="0.25">
      <c r="A616" s="62" t="s">
        <v>2185</v>
      </c>
      <c r="B616" s="63" t="s">
        <v>2186</v>
      </c>
      <c r="C616" s="79" t="s">
        <v>8498</v>
      </c>
    </row>
    <row r="617" spans="1:3" ht="31.5" x14ac:dyDescent="0.25">
      <c r="A617" s="62" t="s">
        <v>2187</v>
      </c>
      <c r="B617" s="63" t="s">
        <v>2188</v>
      </c>
      <c r="C617" s="79" t="s">
        <v>8498</v>
      </c>
    </row>
    <row r="618" spans="1:3" ht="31.5" x14ac:dyDescent="0.25">
      <c r="A618" s="62" t="s">
        <v>2189</v>
      </c>
      <c r="B618" s="63" t="s">
        <v>2190</v>
      </c>
      <c r="C618" s="79" t="s">
        <v>8498</v>
      </c>
    </row>
    <row r="619" spans="1:3" ht="31.5" x14ac:dyDescent="0.25">
      <c r="A619" s="62" t="s">
        <v>2191</v>
      </c>
      <c r="B619" s="63" t="s">
        <v>2192</v>
      </c>
      <c r="C619" s="79" t="s">
        <v>8498</v>
      </c>
    </row>
    <row r="620" spans="1:3" ht="31.5" x14ac:dyDescent="0.25">
      <c r="A620" s="62" t="s">
        <v>2193</v>
      </c>
      <c r="B620" s="63" t="s">
        <v>2194</v>
      </c>
      <c r="C620" s="79" t="s">
        <v>8499</v>
      </c>
    </row>
    <row r="621" spans="1:3" ht="31.5" x14ac:dyDescent="0.25">
      <c r="A621" s="62" t="s">
        <v>2195</v>
      </c>
      <c r="B621" s="63" t="s">
        <v>2196</v>
      </c>
      <c r="C621" s="79" t="s">
        <v>8499</v>
      </c>
    </row>
    <row r="622" spans="1:3" ht="31.5" x14ac:dyDescent="0.25">
      <c r="A622" s="62" t="s">
        <v>2197</v>
      </c>
      <c r="B622" s="63" t="s">
        <v>2198</v>
      </c>
      <c r="C622" s="79" t="s">
        <v>8499</v>
      </c>
    </row>
    <row r="623" spans="1:3" ht="31.5" x14ac:dyDescent="0.25">
      <c r="A623" s="62" t="s">
        <v>2199</v>
      </c>
      <c r="B623" s="63" t="s">
        <v>2200</v>
      </c>
      <c r="C623" s="79" t="s">
        <v>8499</v>
      </c>
    </row>
    <row r="624" spans="1:3" ht="31.5" x14ac:dyDescent="0.25">
      <c r="A624" s="62" t="s">
        <v>2201</v>
      </c>
      <c r="B624" s="63" t="s">
        <v>2202</v>
      </c>
      <c r="C624" s="79" t="s">
        <v>8499</v>
      </c>
    </row>
    <row r="625" spans="1:3" ht="31.5" x14ac:dyDescent="0.25">
      <c r="A625" s="62" t="s">
        <v>2203</v>
      </c>
      <c r="B625" s="63" t="s">
        <v>2204</v>
      </c>
      <c r="C625" s="79" t="s">
        <v>8499</v>
      </c>
    </row>
    <row r="626" spans="1:3" ht="31.5" x14ac:dyDescent="0.25">
      <c r="A626" s="62" t="s">
        <v>2205</v>
      </c>
      <c r="B626" s="63" t="s">
        <v>2206</v>
      </c>
      <c r="C626" s="79" t="s">
        <v>8500</v>
      </c>
    </row>
    <row r="627" spans="1:3" ht="31.5" x14ac:dyDescent="0.25">
      <c r="A627" s="62" t="s">
        <v>2207</v>
      </c>
      <c r="B627" s="63" t="s">
        <v>2208</v>
      </c>
      <c r="C627" s="79" t="s">
        <v>8500</v>
      </c>
    </row>
    <row r="628" spans="1:3" ht="31.5" x14ac:dyDescent="0.25">
      <c r="A628" s="62" t="s">
        <v>2209</v>
      </c>
      <c r="B628" s="63" t="s">
        <v>2210</v>
      </c>
      <c r="C628" s="79" t="s">
        <v>8502</v>
      </c>
    </row>
    <row r="629" spans="1:3" ht="31.5" x14ac:dyDescent="0.25">
      <c r="A629" s="62" t="s">
        <v>2211</v>
      </c>
      <c r="B629" s="63" t="s">
        <v>2212</v>
      </c>
      <c r="C629" s="79" t="s">
        <v>8501</v>
      </c>
    </row>
    <row r="630" spans="1:3" ht="31.5" x14ac:dyDescent="0.25">
      <c r="A630" s="62" t="s">
        <v>2213</v>
      </c>
      <c r="B630" s="63" t="s">
        <v>2214</v>
      </c>
      <c r="C630" s="79" t="s">
        <v>8501</v>
      </c>
    </row>
    <row r="631" spans="1:3" ht="31.5" x14ac:dyDescent="0.25">
      <c r="A631" s="62" t="s">
        <v>2215</v>
      </c>
      <c r="B631" s="63" t="s">
        <v>2216</v>
      </c>
      <c r="C631" s="79" t="s">
        <v>8501</v>
      </c>
    </row>
    <row r="632" spans="1:3" ht="31.5" x14ac:dyDescent="0.25">
      <c r="A632" s="62" t="s">
        <v>2217</v>
      </c>
      <c r="B632" s="63" t="s">
        <v>2218</v>
      </c>
      <c r="C632" s="79" t="s">
        <v>8503</v>
      </c>
    </row>
    <row r="633" spans="1:3" ht="18" x14ac:dyDescent="0.25">
      <c r="A633" s="182"/>
      <c r="B633" s="182" t="s">
        <v>8506</v>
      </c>
      <c r="C633" s="183"/>
    </row>
    <row r="634" spans="1:3" ht="31.5" x14ac:dyDescent="0.25">
      <c r="A634" s="62" t="s">
        <v>2219</v>
      </c>
      <c r="B634" s="63" t="s">
        <v>2220</v>
      </c>
      <c r="C634" s="79" t="s">
        <v>8501</v>
      </c>
    </row>
    <row r="635" spans="1:3" ht="31.5" x14ac:dyDescent="0.25">
      <c r="A635" s="62" t="s">
        <v>2221</v>
      </c>
      <c r="B635" s="63" t="s">
        <v>2222</v>
      </c>
      <c r="C635" s="79" t="s">
        <v>8501</v>
      </c>
    </row>
    <row r="636" spans="1:3" ht="31.5" x14ac:dyDescent="0.25">
      <c r="A636" s="62" t="s">
        <v>2223</v>
      </c>
      <c r="B636" s="63" t="s">
        <v>2224</v>
      </c>
      <c r="C636" s="79" t="s">
        <v>8501</v>
      </c>
    </row>
    <row r="637" spans="1:3" ht="31.5" x14ac:dyDescent="0.25">
      <c r="A637" s="62" t="s">
        <v>2225</v>
      </c>
      <c r="B637" s="63" t="s">
        <v>2226</v>
      </c>
      <c r="C637" s="79" t="s">
        <v>8501</v>
      </c>
    </row>
    <row r="638" spans="1:3" ht="31.5" x14ac:dyDescent="0.25">
      <c r="A638" s="62" t="s">
        <v>2227</v>
      </c>
      <c r="B638" s="63" t="s">
        <v>2228</v>
      </c>
      <c r="C638" s="79" t="s">
        <v>8498</v>
      </c>
    </row>
    <row r="639" spans="1:3" ht="31.5" x14ac:dyDescent="0.25">
      <c r="A639" s="62" t="s">
        <v>2229</v>
      </c>
      <c r="B639" s="63" t="s">
        <v>2230</v>
      </c>
      <c r="C639" s="79" t="s">
        <v>8498</v>
      </c>
    </row>
    <row r="640" spans="1:3" ht="31.5" x14ac:dyDescent="0.25">
      <c r="A640" s="62" t="s">
        <v>2231</v>
      </c>
      <c r="B640" s="63" t="s">
        <v>2232</v>
      </c>
      <c r="C640" s="79" t="s">
        <v>8498</v>
      </c>
    </row>
    <row r="641" spans="1:3" ht="31.5" x14ac:dyDescent="0.25">
      <c r="A641" s="62" t="s">
        <v>2233</v>
      </c>
      <c r="B641" s="63" t="s">
        <v>2234</v>
      </c>
      <c r="C641" s="79" t="s">
        <v>8498</v>
      </c>
    </row>
    <row r="642" spans="1:3" ht="31.5" x14ac:dyDescent="0.25">
      <c r="A642" s="62" t="s">
        <v>2235</v>
      </c>
      <c r="B642" s="63" t="s">
        <v>2236</v>
      </c>
      <c r="C642" s="79" t="s">
        <v>8499</v>
      </c>
    </row>
    <row r="643" spans="1:3" ht="31.5" x14ac:dyDescent="0.25">
      <c r="A643" s="62" t="s">
        <v>2237</v>
      </c>
      <c r="B643" s="63" t="s">
        <v>2238</v>
      </c>
      <c r="C643" s="79" t="s">
        <v>8499</v>
      </c>
    </row>
    <row r="644" spans="1:3" ht="31.5" x14ac:dyDescent="0.25">
      <c r="A644" s="62" t="s">
        <v>2239</v>
      </c>
      <c r="B644" s="63" t="s">
        <v>2240</v>
      </c>
      <c r="C644" s="79" t="s">
        <v>8499</v>
      </c>
    </row>
    <row r="645" spans="1:3" ht="31.5" x14ac:dyDescent="0.25">
      <c r="A645" s="62" t="s">
        <v>2241</v>
      </c>
      <c r="B645" s="63" t="s">
        <v>2242</v>
      </c>
      <c r="C645" s="79" t="s">
        <v>8499</v>
      </c>
    </row>
    <row r="646" spans="1:3" ht="31.5" x14ac:dyDescent="0.25">
      <c r="A646" s="62" t="s">
        <v>2243</v>
      </c>
      <c r="B646" s="63" t="s">
        <v>2244</v>
      </c>
      <c r="C646" s="79" t="s">
        <v>8499</v>
      </c>
    </row>
    <row r="647" spans="1:3" ht="31.5" x14ac:dyDescent="0.25">
      <c r="A647" s="62" t="s">
        <v>2245</v>
      </c>
      <c r="B647" s="63" t="s">
        <v>2246</v>
      </c>
      <c r="C647" s="79" t="s">
        <v>8499</v>
      </c>
    </row>
    <row r="648" spans="1:3" ht="31.5" x14ac:dyDescent="0.25">
      <c r="A648" s="62" t="s">
        <v>2247</v>
      </c>
      <c r="B648" s="63" t="s">
        <v>2248</v>
      </c>
      <c r="C648" s="79" t="s">
        <v>8507</v>
      </c>
    </row>
    <row r="649" spans="1:3" ht="31.5" x14ac:dyDescent="0.25">
      <c r="A649" s="62" t="s">
        <v>2249</v>
      </c>
      <c r="B649" s="63" t="s">
        <v>2250</v>
      </c>
      <c r="C649" s="79" t="s">
        <v>8507</v>
      </c>
    </row>
    <row r="650" spans="1:3" ht="31.5" x14ac:dyDescent="0.25">
      <c r="A650" s="62" t="s">
        <v>2251</v>
      </c>
      <c r="B650" s="63" t="s">
        <v>2252</v>
      </c>
      <c r="C650" s="79" t="s">
        <v>8502</v>
      </c>
    </row>
    <row r="651" spans="1:3" ht="31.5" x14ac:dyDescent="0.25">
      <c r="A651" s="62" t="s">
        <v>2253</v>
      </c>
      <c r="B651" s="63" t="s">
        <v>2254</v>
      </c>
      <c r="C651" s="79" t="s">
        <v>8501</v>
      </c>
    </row>
    <row r="652" spans="1:3" ht="31.5" x14ac:dyDescent="0.25">
      <c r="A652" s="62" t="s">
        <v>2255</v>
      </c>
      <c r="B652" s="63" t="s">
        <v>2256</v>
      </c>
      <c r="C652" s="79" t="s">
        <v>8501</v>
      </c>
    </row>
    <row r="653" spans="1:3" ht="31.5" x14ac:dyDescent="0.25">
      <c r="A653" s="62" t="s">
        <v>2257</v>
      </c>
      <c r="B653" s="63" t="s">
        <v>2258</v>
      </c>
      <c r="C653" s="79" t="s">
        <v>8501</v>
      </c>
    </row>
    <row r="654" spans="1:3" ht="31.5" x14ac:dyDescent="0.25">
      <c r="A654" s="62" t="s">
        <v>2259</v>
      </c>
      <c r="B654" s="63" t="s">
        <v>2260</v>
      </c>
      <c r="C654" s="79" t="s">
        <v>8503</v>
      </c>
    </row>
    <row r="655" spans="1:3" ht="31.5" x14ac:dyDescent="0.25">
      <c r="A655" s="62" t="s">
        <v>2261</v>
      </c>
      <c r="B655" s="63" t="s">
        <v>2262</v>
      </c>
      <c r="C655" s="79" t="s">
        <v>8503</v>
      </c>
    </row>
    <row r="656" spans="1:3" ht="18" x14ac:dyDescent="0.25">
      <c r="A656" s="182"/>
      <c r="B656" s="182" t="s">
        <v>8508</v>
      </c>
      <c r="C656" s="183"/>
    </row>
    <row r="657" spans="1:3" ht="31.5" x14ac:dyDescent="0.25">
      <c r="A657" s="62" t="s">
        <v>2263</v>
      </c>
      <c r="B657" s="63" t="s">
        <v>2264</v>
      </c>
      <c r="C657" s="79" t="s">
        <v>8501</v>
      </c>
    </row>
    <row r="658" spans="1:3" ht="31.5" x14ac:dyDescent="0.25">
      <c r="A658" s="62" t="s">
        <v>2265</v>
      </c>
      <c r="B658" s="63" t="s">
        <v>2266</v>
      </c>
      <c r="C658" s="79" t="s">
        <v>8501</v>
      </c>
    </row>
    <row r="659" spans="1:3" ht="31.5" x14ac:dyDescent="0.25">
      <c r="A659" s="62" t="s">
        <v>2267</v>
      </c>
      <c r="B659" s="63" t="s">
        <v>2268</v>
      </c>
      <c r="C659" s="79" t="s">
        <v>8501</v>
      </c>
    </row>
    <row r="660" spans="1:3" ht="31.5" x14ac:dyDescent="0.25">
      <c r="A660" s="62" t="s">
        <v>2269</v>
      </c>
      <c r="B660" s="63" t="s">
        <v>2270</v>
      </c>
      <c r="C660" s="79" t="s">
        <v>8501</v>
      </c>
    </row>
    <row r="661" spans="1:3" ht="31.5" x14ac:dyDescent="0.25">
      <c r="A661" s="62" t="s">
        <v>2271</v>
      </c>
      <c r="B661" s="63" t="s">
        <v>2272</v>
      </c>
      <c r="C661" s="79" t="s">
        <v>8499</v>
      </c>
    </row>
    <row r="662" spans="1:3" ht="31.5" x14ac:dyDescent="0.25">
      <c r="A662" s="62" t="s">
        <v>2273</v>
      </c>
      <c r="B662" s="63" t="s">
        <v>2274</v>
      </c>
      <c r="C662" s="79" t="s">
        <v>8499</v>
      </c>
    </row>
    <row r="663" spans="1:3" ht="31.5" x14ac:dyDescent="0.25">
      <c r="A663" s="62" t="s">
        <v>2275</v>
      </c>
      <c r="B663" s="63" t="s">
        <v>2276</v>
      </c>
      <c r="C663" s="79" t="s">
        <v>8499</v>
      </c>
    </row>
    <row r="664" spans="1:3" ht="31.5" x14ac:dyDescent="0.25">
      <c r="A664" s="62" t="s">
        <v>2277</v>
      </c>
      <c r="B664" s="63" t="s">
        <v>2278</v>
      </c>
      <c r="C664" s="79" t="s">
        <v>8499</v>
      </c>
    </row>
    <row r="665" spans="1:3" ht="31.5" x14ac:dyDescent="0.25">
      <c r="A665" s="62" t="s">
        <v>2279</v>
      </c>
      <c r="B665" s="63" t="s">
        <v>2280</v>
      </c>
      <c r="C665" s="79" t="s">
        <v>8499</v>
      </c>
    </row>
    <row r="666" spans="1:3" ht="31.5" x14ac:dyDescent="0.25">
      <c r="A666" s="62" t="s">
        <v>2281</v>
      </c>
      <c r="B666" s="63" t="s">
        <v>2282</v>
      </c>
      <c r="C666" s="79" t="s">
        <v>8499</v>
      </c>
    </row>
    <row r="667" spans="1:3" ht="31.5" x14ac:dyDescent="0.25">
      <c r="A667" s="62" t="s">
        <v>2283</v>
      </c>
      <c r="B667" s="63" t="s">
        <v>2284</v>
      </c>
      <c r="C667" s="79" t="s">
        <v>8507</v>
      </c>
    </row>
    <row r="668" spans="1:3" ht="31.5" x14ac:dyDescent="0.25">
      <c r="A668" s="62" t="s">
        <v>2285</v>
      </c>
      <c r="B668" s="63" t="s">
        <v>2286</v>
      </c>
      <c r="C668" s="79" t="s">
        <v>8507</v>
      </c>
    </row>
    <row r="669" spans="1:3" ht="31.5" x14ac:dyDescent="0.25">
      <c r="A669" s="62" t="s">
        <v>2287</v>
      </c>
      <c r="B669" s="63" t="s">
        <v>2288</v>
      </c>
      <c r="C669" s="79" t="s">
        <v>8502</v>
      </c>
    </row>
    <row r="670" spans="1:3" ht="31.5" x14ac:dyDescent="0.25">
      <c r="A670" s="62" t="s">
        <v>2289</v>
      </c>
      <c r="B670" s="63" t="s">
        <v>2290</v>
      </c>
      <c r="C670" s="79" t="s">
        <v>8501</v>
      </c>
    </row>
    <row r="671" spans="1:3" ht="31.5" x14ac:dyDescent="0.25">
      <c r="A671" s="62" t="s">
        <v>2291</v>
      </c>
      <c r="B671" s="63" t="s">
        <v>2292</v>
      </c>
      <c r="C671" s="79" t="s">
        <v>8501</v>
      </c>
    </row>
    <row r="672" spans="1:3" ht="31.5" x14ac:dyDescent="0.25">
      <c r="A672" s="62" t="s">
        <v>2293</v>
      </c>
      <c r="B672" s="63" t="s">
        <v>2294</v>
      </c>
      <c r="C672" s="79" t="s">
        <v>8501</v>
      </c>
    </row>
    <row r="673" spans="1:3" ht="31.5" x14ac:dyDescent="0.25">
      <c r="A673" s="62" t="s">
        <v>2295</v>
      </c>
      <c r="B673" s="63" t="s">
        <v>2296</v>
      </c>
      <c r="C673" s="79" t="s">
        <v>8503</v>
      </c>
    </row>
    <row r="674" spans="1:3" ht="31.5" x14ac:dyDescent="0.25">
      <c r="A674" s="62" t="s">
        <v>2297</v>
      </c>
      <c r="B674" s="63" t="s">
        <v>2298</v>
      </c>
      <c r="C674" s="79" t="s">
        <v>8503</v>
      </c>
    </row>
    <row r="675" spans="1:3" ht="18" x14ac:dyDescent="0.25">
      <c r="A675" s="182"/>
      <c r="B675" s="182" t="s">
        <v>8509</v>
      </c>
      <c r="C675" s="183"/>
    </row>
    <row r="676" spans="1:3" ht="31.5" x14ac:dyDescent="0.25">
      <c r="A676" s="62" t="s">
        <v>2299</v>
      </c>
      <c r="B676" s="63" t="s">
        <v>2300</v>
      </c>
      <c r="C676" s="79" t="s">
        <v>8501</v>
      </c>
    </row>
    <row r="677" spans="1:3" ht="31.5" x14ac:dyDescent="0.25">
      <c r="A677" s="62" t="s">
        <v>2301</v>
      </c>
      <c r="B677" s="63" t="s">
        <v>2302</v>
      </c>
      <c r="C677" s="79" t="s">
        <v>8501</v>
      </c>
    </row>
    <row r="678" spans="1:3" ht="31.5" x14ac:dyDescent="0.25">
      <c r="A678" s="62" t="s">
        <v>2303</v>
      </c>
      <c r="B678" s="63" t="s">
        <v>2304</v>
      </c>
      <c r="C678" s="79" t="s">
        <v>8501</v>
      </c>
    </row>
    <row r="679" spans="1:3" ht="31.5" x14ac:dyDescent="0.25">
      <c r="A679" s="62" t="s">
        <v>2305</v>
      </c>
      <c r="B679" s="63" t="s">
        <v>2306</v>
      </c>
      <c r="C679" s="79" t="s">
        <v>8501</v>
      </c>
    </row>
    <row r="680" spans="1:3" ht="31.5" x14ac:dyDescent="0.25">
      <c r="A680" s="62" t="s">
        <v>2307</v>
      </c>
      <c r="B680" s="63" t="s">
        <v>2308</v>
      </c>
      <c r="C680" s="79" t="s">
        <v>8498</v>
      </c>
    </row>
    <row r="681" spans="1:3" ht="31.5" x14ac:dyDescent="0.25">
      <c r="A681" s="62" t="s">
        <v>2309</v>
      </c>
      <c r="B681" s="63" t="s">
        <v>2310</v>
      </c>
      <c r="C681" s="79" t="s">
        <v>8498</v>
      </c>
    </row>
    <row r="682" spans="1:3" ht="31.5" x14ac:dyDescent="0.25">
      <c r="A682" s="62" t="s">
        <v>2311</v>
      </c>
      <c r="B682" s="63" t="s">
        <v>2312</v>
      </c>
      <c r="C682" s="79" t="s">
        <v>8498</v>
      </c>
    </row>
    <row r="683" spans="1:3" ht="31.5" x14ac:dyDescent="0.25">
      <c r="A683" s="62" t="s">
        <v>2313</v>
      </c>
      <c r="B683" s="63" t="s">
        <v>2314</v>
      </c>
      <c r="C683" s="79" t="s">
        <v>8498</v>
      </c>
    </row>
    <row r="684" spans="1:3" ht="31.5" x14ac:dyDescent="0.25">
      <c r="A684" s="62" t="s">
        <v>2315</v>
      </c>
      <c r="B684" s="63" t="s">
        <v>2316</v>
      </c>
      <c r="C684" s="79" t="s">
        <v>8499</v>
      </c>
    </row>
    <row r="685" spans="1:3" ht="31.5" x14ac:dyDescent="0.25">
      <c r="A685" s="62" t="s">
        <v>2317</v>
      </c>
      <c r="B685" s="63" t="s">
        <v>2318</v>
      </c>
      <c r="C685" s="79" t="s">
        <v>8499</v>
      </c>
    </row>
    <row r="686" spans="1:3" ht="31.5" x14ac:dyDescent="0.25">
      <c r="A686" s="62" t="s">
        <v>2319</v>
      </c>
      <c r="B686" s="63" t="s">
        <v>2320</v>
      </c>
      <c r="C686" s="79" t="s">
        <v>8499</v>
      </c>
    </row>
    <row r="687" spans="1:3" ht="31.5" x14ac:dyDescent="0.25">
      <c r="A687" s="62" t="s">
        <v>2321</v>
      </c>
      <c r="B687" s="63" t="s">
        <v>2322</v>
      </c>
      <c r="C687" s="79" t="s">
        <v>8499</v>
      </c>
    </row>
    <row r="688" spans="1:3" ht="31.5" x14ac:dyDescent="0.25">
      <c r="A688" s="62" t="s">
        <v>2323</v>
      </c>
      <c r="B688" s="63" t="s">
        <v>2324</v>
      </c>
      <c r="C688" s="79" t="s">
        <v>8499</v>
      </c>
    </row>
    <row r="689" spans="1:3" ht="31.5" x14ac:dyDescent="0.25">
      <c r="A689" s="62" t="s">
        <v>2325</v>
      </c>
      <c r="B689" s="63" t="s">
        <v>2326</v>
      </c>
      <c r="C689" s="79" t="s">
        <v>8499</v>
      </c>
    </row>
    <row r="690" spans="1:3" ht="31.5" x14ac:dyDescent="0.25">
      <c r="A690" s="62" t="s">
        <v>2327</v>
      </c>
      <c r="B690" s="63" t="s">
        <v>2328</v>
      </c>
      <c r="C690" s="79" t="s">
        <v>8507</v>
      </c>
    </row>
    <row r="691" spans="1:3" ht="31.5" x14ac:dyDescent="0.25">
      <c r="A691" s="62" t="s">
        <v>2329</v>
      </c>
      <c r="B691" s="63" t="s">
        <v>2330</v>
      </c>
      <c r="C691" s="79" t="s">
        <v>8507</v>
      </c>
    </row>
    <row r="692" spans="1:3" ht="31.5" x14ac:dyDescent="0.25">
      <c r="A692" s="62" t="s">
        <v>2331</v>
      </c>
      <c r="B692" s="63" t="s">
        <v>2332</v>
      </c>
      <c r="C692" s="79" t="s">
        <v>8502</v>
      </c>
    </row>
    <row r="693" spans="1:3" ht="31.5" x14ac:dyDescent="0.25">
      <c r="A693" s="62" t="s">
        <v>2333</v>
      </c>
      <c r="B693" s="63" t="s">
        <v>2334</v>
      </c>
      <c r="C693" s="79" t="s">
        <v>8501</v>
      </c>
    </row>
    <row r="694" spans="1:3" ht="31.5" x14ac:dyDescent="0.25">
      <c r="A694" s="62" t="s">
        <v>2335</v>
      </c>
      <c r="B694" s="63" t="s">
        <v>2336</v>
      </c>
      <c r="C694" s="79" t="s">
        <v>8501</v>
      </c>
    </row>
    <row r="695" spans="1:3" ht="31.5" x14ac:dyDescent="0.25">
      <c r="A695" s="62" t="s">
        <v>2337</v>
      </c>
      <c r="B695" s="63" t="s">
        <v>2338</v>
      </c>
      <c r="C695" s="79" t="s">
        <v>8501</v>
      </c>
    </row>
    <row r="696" spans="1:3" ht="31.5" x14ac:dyDescent="0.25">
      <c r="A696" s="62" t="s">
        <v>2339</v>
      </c>
      <c r="B696" s="63" t="s">
        <v>2340</v>
      </c>
      <c r="C696" s="79" t="s">
        <v>8503</v>
      </c>
    </row>
    <row r="697" spans="1:3" ht="31.5" x14ac:dyDescent="0.25">
      <c r="A697" s="62" t="s">
        <v>2341</v>
      </c>
      <c r="B697" s="63" t="s">
        <v>2342</v>
      </c>
      <c r="C697" s="79" t="s">
        <v>8503</v>
      </c>
    </row>
    <row r="698" spans="1:3" ht="18" x14ac:dyDescent="0.25">
      <c r="A698" s="182"/>
      <c r="B698" s="182" t="s">
        <v>8510</v>
      </c>
      <c r="C698" s="183"/>
    </row>
    <row r="699" spans="1:3" x14ac:dyDescent="0.25">
      <c r="A699" s="62" t="s">
        <v>2343</v>
      </c>
      <c r="B699" s="63" t="s">
        <v>2344</v>
      </c>
      <c r="C699" s="79" t="s">
        <v>8511</v>
      </c>
    </row>
    <row r="700" spans="1:3" ht="18" x14ac:dyDescent="0.25">
      <c r="A700" s="182"/>
      <c r="B700" s="182" t="s">
        <v>8512</v>
      </c>
      <c r="C700" s="183"/>
    </row>
    <row r="701" spans="1:3" x14ac:dyDescent="0.25">
      <c r="A701" s="62" t="s">
        <v>2345</v>
      </c>
      <c r="B701" s="63" t="s">
        <v>2346</v>
      </c>
      <c r="C701" s="79" t="s">
        <v>8511</v>
      </c>
    </row>
    <row r="702" spans="1:3" ht="18" x14ac:dyDescent="0.25">
      <c r="A702" s="182"/>
      <c r="B702" s="182" t="s">
        <v>8513</v>
      </c>
      <c r="C702" s="183"/>
    </row>
    <row r="703" spans="1:3" x14ac:dyDescent="0.25">
      <c r="A703" s="62" t="s">
        <v>2347</v>
      </c>
      <c r="B703" s="63" t="s">
        <v>2348</v>
      </c>
      <c r="C703" s="79" t="s">
        <v>8511</v>
      </c>
    </row>
    <row r="704" spans="1:3" ht="18" x14ac:dyDescent="0.25">
      <c r="A704" s="182"/>
      <c r="B704" s="182" t="s">
        <v>8514</v>
      </c>
      <c r="C704" s="183"/>
    </row>
    <row r="705" spans="1:3" ht="31.5" x14ac:dyDescent="0.25">
      <c r="A705" s="62" t="s">
        <v>2349</v>
      </c>
      <c r="B705" s="63" t="s">
        <v>2350</v>
      </c>
      <c r="C705" s="79" t="s">
        <v>8515</v>
      </c>
    </row>
    <row r="706" spans="1:3" ht="31.5" x14ac:dyDescent="0.25">
      <c r="A706" s="62" t="s">
        <v>2351</v>
      </c>
      <c r="B706" s="63" t="s">
        <v>2352</v>
      </c>
      <c r="C706" s="79" t="s">
        <v>8515</v>
      </c>
    </row>
    <row r="707" spans="1:3" ht="31.5" x14ac:dyDescent="0.25">
      <c r="A707" s="62" t="s">
        <v>2353</v>
      </c>
      <c r="B707" s="63" t="s">
        <v>2354</v>
      </c>
      <c r="C707" s="79" t="s">
        <v>8515</v>
      </c>
    </row>
    <row r="708" spans="1:3" ht="31.5" x14ac:dyDescent="0.25">
      <c r="A708" s="62" t="s">
        <v>2355</v>
      </c>
      <c r="B708" s="63" t="s">
        <v>2356</v>
      </c>
      <c r="C708" s="79" t="s">
        <v>8515</v>
      </c>
    </row>
    <row r="709" spans="1:3" ht="31.5" x14ac:dyDescent="0.25">
      <c r="A709" s="62" t="s">
        <v>2357</v>
      </c>
      <c r="B709" s="63" t="s">
        <v>2358</v>
      </c>
      <c r="C709" s="79" t="s">
        <v>8516</v>
      </c>
    </row>
    <row r="710" spans="1:3" ht="31.5" x14ac:dyDescent="0.25">
      <c r="A710" s="62" t="s">
        <v>2359</v>
      </c>
      <c r="B710" s="63" t="s">
        <v>2360</v>
      </c>
      <c r="C710" s="79" t="s">
        <v>8516</v>
      </c>
    </row>
    <row r="711" spans="1:3" ht="31.5" x14ac:dyDescent="0.25">
      <c r="A711" s="62" t="s">
        <v>2361</v>
      </c>
      <c r="B711" s="63" t="s">
        <v>2362</v>
      </c>
      <c r="C711" s="79" t="s">
        <v>8516</v>
      </c>
    </row>
    <row r="712" spans="1:3" ht="31.5" x14ac:dyDescent="0.25">
      <c r="A712" s="62" t="s">
        <v>2363</v>
      </c>
      <c r="B712" s="63" t="s">
        <v>2364</v>
      </c>
      <c r="C712" s="79" t="s">
        <v>8516</v>
      </c>
    </row>
    <row r="713" spans="1:3" ht="31.5" x14ac:dyDescent="0.25">
      <c r="A713" s="62" t="s">
        <v>2365</v>
      </c>
      <c r="B713" s="63" t="s">
        <v>2366</v>
      </c>
      <c r="C713" s="79" t="s">
        <v>8516</v>
      </c>
    </row>
    <row r="714" spans="1:3" ht="31.5" x14ac:dyDescent="0.25">
      <c r="A714" s="62" t="s">
        <v>2367</v>
      </c>
      <c r="B714" s="63" t="s">
        <v>2368</v>
      </c>
      <c r="C714" s="79" t="s">
        <v>8516</v>
      </c>
    </row>
    <row r="715" spans="1:3" ht="31.5" x14ac:dyDescent="0.25">
      <c r="A715" s="62" t="s">
        <v>2369</v>
      </c>
      <c r="B715" s="63" t="s">
        <v>2370</v>
      </c>
      <c r="C715" s="79" t="s">
        <v>8516</v>
      </c>
    </row>
    <row r="716" spans="1:3" ht="31.5" x14ac:dyDescent="0.25">
      <c r="A716" s="62" t="s">
        <v>2371</v>
      </c>
      <c r="B716" s="63" t="s">
        <v>2372</v>
      </c>
      <c r="C716" s="79" t="s">
        <v>8516</v>
      </c>
    </row>
    <row r="717" spans="1:3" ht="31.5" x14ac:dyDescent="0.25">
      <c r="A717" s="62" t="s">
        <v>2373</v>
      </c>
      <c r="B717" s="63" t="s">
        <v>2374</v>
      </c>
      <c r="C717" s="79" t="s">
        <v>8516</v>
      </c>
    </row>
    <row r="718" spans="1:3" ht="31.5" x14ac:dyDescent="0.25">
      <c r="A718" s="62" t="s">
        <v>2375</v>
      </c>
      <c r="B718" s="63" t="s">
        <v>2376</v>
      </c>
      <c r="C718" s="79" t="s">
        <v>8516</v>
      </c>
    </row>
    <row r="719" spans="1:3" ht="31.5" x14ac:dyDescent="0.25">
      <c r="A719" s="62" t="s">
        <v>2377</v>
      </c>
      <c r="B719" s="63" t="s">
        <v>2378</v>
      </c>
      <c r="C719" s="79" t="s">
        <v>8516</v>
      </c>
    </row>
    <row r="720" spans="1:3" ht="31.5" x14ac:dyDescent="0.25">
      <c r="A720" s="62" t="s">
        <v>2379</v>
      </c>
      <c r="B720" s="63" t="s">
        <v>2380</v>
      </c>
      <c r="C720" s="79" t="s">
        <v>8516</v>
      </c>
    </row>
    <row r="721" spans="1:3" ht="31.5" x14ac:dyDescent="0.25">
      <c r="A721" s="62" t="s">
        <v>2381</v>
      </c>
      <c r="B721" s="63" t="s">
        <v>2382</v>
      </c>
      <c r="C721" s="79" t="s">
        <v>8516</v>
      </c>
    </row>
    <row r="722" spans="1:3" ht="31.5" x14ac:dyDescent="0.25">
      <c r="A722" s="62" t="s">
        <v>2383</v>
      </c>
      <c r="B722" s="63" t="s">
        <v>2384</v>
      </c>
      <c r="C722" s="79" t="s">
        <v>8516</v>
      </c>
    </row>
    <row r="723" spans="1:3" ht="31.5" x14ac:dyDescent="0.25">
      <c r="A723" s="62" t="s">
        <v>2385</v>
      </c>
      <c r="B723" s="63" t="s">
        <v>2386</v>
      </c>
      <c r="C723" s="79" t="s">
        <v>8516</v>
      </c>
    </row>
    <row r="724" spans="1:3" ht="31.5" x14ac:dyDescent="0.25">
      <c r="A724" s="62" t="s">
        <v>2387</v>
      </c>
      <c r="B724" s="63" t="s">
        <v>2388</v>
      </c>
      <c r="C724" s="79" t="s">
        <v>8516</v>
      </c>
    </row>
    <row r="725" spans="1:3" ht="31.5" x14ac:dyDescent="0.25">
      <c r="A725" s="62" t="s">
        <v>2389</v>
      </c>
      <c r="B725" s="63" t="s">
        <v>2390</v>
      </c>
      <c r="C725" s="79" t="s">
        <v>8517</v>
      </c>
    </row>
    <row r="726" spans="1:3" ht="31.5" x14ac:dyDescent="0.25">
      <c r="A726" s="62" t="s">
        <v>2391</v>
      </c>
      <c r="B726" s="63" t="s">
        <v>2392</v>
      </c>
      <c r="C726" s="79" t="s">
        <v>8518</v>
      </c>
    </row>
    <row r="727" spans="1:3" x14ac:dyDescent="0.25">
      <c r="A727" s="62" t="s">
        <v>2393</v>
      </c>
      <c r="B727" s="63" t="s">
        <v>2394</v>
      </c>
      <c r="C727" s="79" t="s">
        <v>8518</v>
      </c>
    </row>
    <row r="728" spans="1:3" ht="18" x14ac:dyDescent="0.25">
      <c r="A728" s="182"/>
      <c r="B728" s="182" t="s">
        <v>8519</v>
      </c>
      <c r="C728" s="183"/>
    </row>
    <row r="729" spans="1:3" ht="31.5" x14ac:dyDescent="0.25">
      <c r="A729" s="62" t="s">
        <v>2395</v>
      </c>
      <c r="B729" s="63" t="s">
        <v>2396</v>
      </c>
      <c r="C729" s="79" t="s">
        <v>8515</v>
      </c>
    </row>
    <row r="730" spans="1:3" ht="31.5" x14ac:dyDescent="0.25">
      <c r="A730" s="62" t="s">
        <v>2397</v>
      </c>
      <c r="B730" s="63" t="s">
        <v>2398</v>
      </c>
      <c r="C730" s="79" t="s">
        <v>8515</v>
      </c>
    </row>
    <row r="731" spans="1:3" ht="31.5" x14ac:dyDescent="0.25">
      <c r="A731" s="62" t="s">
        <v>2399</v>
      </c>
      <c r="B731" s="63" t="s">
        <v>2400</v>
      </c>
      <c r="C731" s="79" t="s">
        <v>8515</v>
      </c>
    </row>
    <row r="732" spans="1:3" ht="31.5" x14ac:dyDescent="0.25">
      <c r="A732" s="62" t="s">
        <v>2401</v>
      </c>
      <c r="B732" s="63" t="s">
        <v>2402</v>
      </c>
      <c r="C732" s="79" t="s">
        <v>8515</v>
      </c>
    </row>
    <row r="733" spans="1:3" ht="31.5" x14ac:dyDescent="0.25">
      <c r="A733" s="62" t="s">
        <v>2403</v>
      </c>
      <c r="B733" s="63" t="s">
        <v>2404</v>
      </c>
      <c r="C733" s="79" t="s">
        <v>8516</v>
      </c>
    </row>
    <row r="734" spans="1:3" ht="31.5" x14ac:dyDescent="0.25">
      <c r="A734" s="62" t="s">
        <v>2405</v>
      </c>
      <c r="B734" s="63" t="s">
        <v>2406</v>
      </c>
      <c r="C734" s="79" t="s">
        <v>8516</v>
      </c>
    </row>
    <row r="735" spans="1:3" ht="31.5" x14ac:dyDescent="0.25">
      <c r="A735" s="62" t="s">
        <v>2407</v>
      </c>
      <c r="B735" s="63" t="s">
        <v>2408</v>
      </c>
      <c r="C735" s="79" t="s">
        <v>8516</v>
      </c>
    </row>
    <row r="736" spans="1:3" ht="31.5" x14ac:dyDescent="0.25">
      <c r="A736" s="62" t="s">
        <v>2409</v>
      </c>
      <c r="B736" s="63" t="s">
        <v>2410</v>
      </c>
      <c r="C736" s="79" t="s">
        <v>8516</v>
      </c>
    </row>
    <row r="737" spans="1:3" ht="31.5" x14ac:dyDescent="0.25">
      <c r="A737" s="62" t="s">
        <v>2411</v>
      </c>
      <c r="B737" s="63" t="s">
        <v>2412</v>
      </c>
      <c r="C737" s="79" t="s">
        <v>8516</v>
      </c>
    </row>
    <row r="738" spans="1:3" ht="31.5" x14ac:dyDescent="0.25">
      <c r="A738" s="62" t="s">
        <v>2413</v>
      </c>
      <c r="B738" s="63" t="s">
        <v>2414</v>
      </c>
      <c r="C738" s="79" t="s">
        <v>8516</v>
      </c>
    </row>
    <row r="739" spans="1:3" ht="31.5" x14ac:dyDescent="0.25">
      <c r="A739" s="62" t="s">
        <v>2415</v>
      </c>
      <c r="B739" s="63" t="s">
        <v>2416</v>
      </c>
      <c r="C739" s="79" t="s">
        <v>8516</v>
      </c>
    </row>
    <row r="740" spans="1:3" ht="31.5" x14ac:dyDescent="0.25">
      <c r="A740" s="62" t="s">
        <v>2417</v>
      </c>
      <c r="B740" s="63" t="s">
        <v>2418</v>
      </c>
      <c r="C740" s="79" t="s">
        <v>8516</v>
      </c>
    </row>
    <row r="741" spans="1:3" ht="31.5" x14ac:dyDescent="0.25">
      <c r="A741" s="62" t="s">
        <v>2419</v>
      </c>
      <c r="B741" s="63" t="s">
        <v>2420</v>
      </c>
      <c r="C741" s="79" t="s">
        <v>8516</v>
      </c>
    </row>
    <row r="742" spans="1:3" ht="31.5" x14ac:dyDescent="0.25">
      <c r="A742" s="62" t="s">
        <v>2421</v>
      </c>
      <c r="B742" s="63" t="s">
        <v>2422</v>
      </c>
      <c r="C742" s="79" t="s">
        <v>8516</v>
      </c>
    </row>
    <row r="743" spans="1:3" ht="31.5" x14ac:dyDescent="0.25">
      <c r="A743" s="62" t="s">
        <v>2423</v>
      </c>
      <c r="B743" s="63" t="s">
        <v>2424</v>
      </c>
      <c r="C743" s="79" t="s">
        <v>8516</v>
      </c>
    </row>
    <row r="744" spans="1:3" ht="31.5" x14ac:dyDescent="0.25">
      <c r="A744" s="62" t="s">
        <v>2425</v>
      </c>
      <c r="B744" s="63" t="s">
        <v>2426</v>
      </c>
      <c r="C744" s="79" t="s">
        <v>8516</v>
      </c>
    </row>
    <row r="745" spans="1:3" ht="31.5" x14ac:dyDescent="0.25">
      <c r="A745" s="62" t="s">
        <v>2427</v>
      </c>
      <c r="B745" s="63" t="s">
        <v>2428</v>
      </c>
      <c r="C745" s="79" t="s">
        <v>8516</v>
      </c>
    </row>
    <row r="746" spans="1:3" ht="31.5" x14ac:dyDescent="0.25">
      <c r="A746" s="62" t="s">
        <v>2429</v>
      </c>
      <c r="B746" s="63" t="s">
        <v>2430</v>
      </c>
      <c r="C746" s="79" t="s">
        <v>8516</v>
      </c>
    </row>
    <row r="747" spans="1:3" ht="31.5" x14ac:dyDescent="0.25">
      <c r="A747" s="62" t="s">
        <v>2431</v>
      </c>
      <c r="B747" s="63" t="s">
        <v>2432</v>
      </c>
      <c r="C747" s="79" t="s">
        <v>8516</v>
      </c>
    </row>
    <row r="748" spans="1:3" ht="31.5" x14ac:dyDescent="0.25">
      <c r="A748" s="62" t="s">
        <v>2433</v>
      </c>
      <c r="B748" s="63" t="s">
        <v>2434</v>
      </c>
      <c r="C748" s="79" t="s">
        <v>8516</v>
      </c>
    </row>
    <row r="749" spans="1:3" ht="31.5" x14ac:dyDescent="0.25">
      <c r="A749" s="62" t="s">
        <v>2435</v>
      </c>
      <c r="B749" s="63" t="s">
        <v>2436</v>
      </c>
      <c r="C749" s="79" t="s">
        <v>8517</v>
      </c>
    </row>
    <row r="750" spans="1:3" x14ac:dyDescent="0.25">
      <c r="A750" s="62" t="s">
        <v>2437</v>
      </c>
      <c r="B750" s="63" t="s">
        <v>2438</v>
      </c>
      <c r="C750" s="79" t="s">
        <v>8518</v>
      </c>
    </row>
    <row r="751" spans="1:3" x14ac:dyDescent="0.25">
      <c r="A751" s="62" t="s">
        <v>2439</v>
      </c>
      <c r="B751" s="63" t="s">
        <v>2440</v>
      </c>
      <c r="C751" s="79" t="s">
        <v>8518</v>
      </c>
    </row>
    <row r="752" spans="1:3" ht="18" x14ac:dyDescent="0.25">
      <c r="A752" s="182"/>
      <c r="B752" s="182" t="s">
        <v>8520</v>
      </c>
      <c r="C752" s="183"/>
    </row>
    <row r="753" spans="1:3" ht="31.5" x14ac:dyDescent="0.25">
      <c r="A753" s="62" t="s">
        <v>2441</v>
      </c>
      <c r="B753" s="63" t="s">
        <v>2442</v>
      </c>
      <c r="C753" s="79" t="s">
        <v>8521</v>
      </c>
    </row>
    <row r="754" spans="1:3" ht="31.5" x14ac:dyDescent="0.25">
      <c r="A754" s="62" t="s">
        <v>2443</v>
      </c>
      <c r="B754" s="63" t="s">
        <v>2444</v>
      </c>
      <c r="C754" s="79" t="s">
        <v>8521</v>
      </c>
    </row>
    <row r="755" spans="1:3" ht="31.5" x14ac:dyDescent="0.25">
      <c r="A755" s="62" t="s">
        <v>2445</v>
      </c>
      <c r="B755" s="63" t="s">
        <v>2446</v>
      </c>
      <c r="C755" s="79" t="s">
        <v>8521</v>
      </c>
    </row>
    <row r="756" spans="1:3" ht="31.5" x14ac:dyDescent="0.25">
      <c r="A756" s="62" t="s">
        <v>2447</v>
      </c>
      <c r="B756" s="63" t="s">
        <v>2448</v>
      </c>
      <c r="C756" s="79" t="s">
        <v>8521</v>
      </c>
    </row>
    <row r="757" spans="1:3" ht="31.5" x14ac:dyDescent="0.25">
      <c r="A757" s="62" t="s">
        <v>2449</v>
      </c>
      <c r="B757" s="63" t="s">
        <v>2450</v>
      </c>
      <c r="C757" s="79" t="s">
        <v>8522</v>
      </c>
    </row>
    <row r="758" spans="1:3" ht="31.5" x14ac:dyDescent="0.25">
      <c r="A758" s="62" t="s">
        <v>2451</v>
      </c>
      <c r="B758" s="63" t="s">
        <v>2452</v>
      </c>
      <c r="C758" s="79" t="s">
        <v>8522</v>
      </c>
    </row>
    <row r="759" spans="1:3" ht="31.5" x14ac:dyDescent="0.25">
      <c r="A759" s="62" t="s">
        <v>2453</v>
      </c>
      <c r="B759" s="63" t="s">
        <v>2454</v>
      </c>
      <c r="C759" s="79" t="s">
        <v>8522</v>
      </c>
    </row>
    <row r="760" spans="1:3" ht="31.5" x14ac:dyDescent="0.25">
      <c r="A760" s="62" t="s">
        <v>2455</v>
      </c>
      <c r="B760" s="63" t="s">
        <v>2456</v>
      </c>
      <c r="C760" s="79" t="s">
        <v>8522</v>
      </c>
    </row>
    <row r="761" spans="1:3" ht="31.5" x14ac:dyDescent="0.25">
      <c r="A761" s="62" t="s">
        <v>2457</v>
      </c>
      <c r="B761" s="63" t="s">
        <v>2458</v>
      </c>
      <c r="C761" s="79" t="s">
        <v>8522</v>
      </c>
    </row>
    <row r="762" spans="1:3" ht="31.5" x14ac:dyDescent="0.25">
      <c r="A762" s="62" t="s">
        <v>2459</v>
      </c>
      <c r="B762" s="63" t="s">
        <v>2460</v>
      </c>
      <c r="C762" s="79" t="s">
        <v>8522</v>
      </c>
    </row>
    <row r="763" spans="1:3" ht="31.5" x14ac:dyDescent="0.25">
      <c r="A763" s="62" t="s">
        <v>2461</v>
      </c>
      <c r="B763" s="63" t="s">
        <v>2462</v>
      </c>
      <c r="C763" s="79" t="s">
        <v>8522</v>
      </c>
    </row>
    <row r="764" spans="1:3" ht="31.5" x14ac:dyDescent="0.25">
      <c r="A764" s="62" t="s">
        <v>2463</v>
      </c>
      <c r="B764" s="63" t="s">
        <v>2464</v>
      </c>
      <c r="C764" s="79" t="s">
        <v>8522</v>
      </c>
    </row>
    <row r="765" spans="1:3" ht="31.5" x14ac:dyDescent="0.25">
      <c r="A765" s="62" t="s">
        <v>2465</v>
      </c>
      <c r="B765" s="63" t="s">
        <v>2466</v>
      </c>
      <c r="C765" s="79" t="s">
        <v>8522</v>
      </c>
    </row>
    <row r="766" spans="1:3" ht="31.5" x14ac:dyDescent="0.25">
      <c r="A766" s="62" t="s">
        <v>2467</v>
      </c>
      <c r="B766" s="63" t="s">
        <v>2468</v>
      </c>
      <c r="C766" s="79" t="s">
        <v>8522</v>
      </c>
    </row>
    <row r="767" spans="1:3" ht="31.5" x14ac:dyDescent="0.25">
      <c r="A767" s="62" t="s">
        <v>2469</v>
      </c>
      <c r="B767" s="63" t="s">
        <v>2470</v>
      </c>
      <c r="C767" s="79" t="s">
        <v>8523</v>
      </c>
    </row>
    <row r="768" spans="1:3" ht="31.5" x14ac:dyDescent="0.25">
      <c r="A768" s="62" t="s">
        <v>2471</v>
      </c>
      <c r="B768" s="63" t="s">
        <v>2472</v>
      </c>
      <c r="C768" s="79" t="s">
        <v>8523</v>
      </c>
    </row>
    <row r="769" spans="1:3" ht="31.5" x14ac:dyDescent="0.25">
      <c r="A769" s="62" t="s">
        <v>2473</v>
      </c>
      <c r="B769" s="63" t="s">
        <v>2474</v>
      </c>
      <c r="C769" s="79" t="s">
        <v>8523</v>
      </c>
    </row>
    <row r="770" spans="1:3" ht="31.5" x14ac:dyDescent="0.25">
      <c r="A770" s="62" t="s">
        <v>2475</v>
      </c>
      <c r="B770" s="63" t="s">
        <v>2476</v>
      </c>
      <c r="C770" s="79" t="s">
        <v>8523</v>
      </c>
    </row>
    <row r="771" spans="1:3" ht="18" x14ac:dyDescent="0.25">
      <c r="A771" s="182"/>
      <c r="B771" s="182" t="s">
        <v>8524</v>
      </c>
      <c r="C771" s="183"/>
    </row>
    <row r="772" spans="1:3" ht="31.5" x14ac:dyDescent="0.25">
      <c r="A772" s="62" t="s">
        <v>2477</v>
      </c>
      <c r="B772" s="63" t="s">
        <v>2478</v>
      </c>
      <c r="C772" s="79" t="s">
        <v>8521</v>
      </c>
    </row>
    <row r="773" spans="1:3" ht="31.5" x14ac:dyDescent="0.25">
      <c r="A773" s="62" t="s">
        <v>2479</v>
      </c>
      <c r="B773" s="63" t="s">
        <v>2480</v>
      </c>
      <c r="C773" s="79" t="s">
        <v>8521</v>
      </c>
    </row>
    <row r="774" spans="1:3" ht="31.5" x14ac:dyDescent="0.25">
      <c r="A774" s="62" t="s">
        <v>2481</v>
      </c>
      <c r="B774" s="63" t="s">
        <v>2482</v>
      </c>
      <c r="C774" s="79" t="s">
        <v>8521</v>
      </c>
    </row>
    <row r="775" spans="1:3" ht="31.5" x14ac:dyDescent="0.25">
      <c r="A775" s="62" t="s">
        <v>2483</v>
      </c>
      <c r="B775" s="63" t="s">
        <v>2484</v>
      </c>
      <c r="C775" s="79" t="s">
        <v>8521</v>
      </c>
    </row>
    <row r="776" spans="1:3" ht="31.5" x14ac:dyDescent="0.25">
      <c r="A776" s="62" t="s">
        <v>2485</v>
      </c>
      <c r="B776" s="63" t="s">
        <v>2486</v>
      </c>
      <c r="C776" s="79" t="s">
        <v>8522</v>
      </c>
    </row>
    <row r="777" spans="1:3" ht="31.5" x14ac:dyDescent="0.25">
      <c r="A777" s="62" t="s">
        <v>2487</v>
      </c>
      <c r="B777" s="63" t="s">
        <v>2488</v>
      </c>
      <c r="C777" s="79" t="s">
        <v>8522</v>
      </c>
    </row>
    <row r="778" spans="1:3" ht="31.5" x14ac:dyDescent="0.25">
      <c r="A778" s="62" t="s">
        <v>2489</v>
      </c>
      <c r="B778" s="63" t="s">
        <v>2490</v>
      </c>
      <c r="C778" s="79" t="s">
        <v>8522</v>
      </c>
    </row>
    <row r="779" spans="1:3" ht="31.5" x14ac:dyDescent="0.25">
      <c r="A779" s="62" t="s">
        <v>2491</v>
      </c>
      <c r="B779" s="63" t="s">
        <v>2492</v>
      </c>
      <c r="C779" s="79" t="s">
        <v>8522</v>
      </c>
    </row>
    <row r="780" spans="1:3" ht="31.5" x14ac:dyDescent="0.25">
      <c r="A780" s="62" t="s">
        <v>2493</v>
      </c>
      <c r="B780" s="63" t="s">
        <v>2494</v>
      </c>
      <c r="C780" s="79" t="s">
        <v>8522</v>
      </c>
    </row>
    <row r="781" spans="1:3" ht="31.5" x14ac:dyDescent="0.25">
      <c r="A781" s="62" t="s">
        <v>2495</v>
      </c>
      <c r="B781" s="63" t="s">
        <v>2496</v>
      </c>
      <c r="C781" s="79" t="s">
        <v>8522</v>
      </c>
    </row>
    <row r="782" spans="1:3" ht="31.5" x14ac:dyDescent="0.25">
      <c r="A782" s="62" t="s">
        <v>2497</v>
      </c>
      <c r="B782" s="63" t="s">
        <v>2498</v>
      </c>
      <c r="C782" s="79" t="s">
        <v>8522</v>
      </c>
    </row>
    <row r="783" spans="1:3" ht="31.5" x14ac:dyDescent="0.25">
      <c r="A783" s="62" t="s">
        <v>2499</v>
      </c>
      <c r="B783" s="63" t="s">
        <v>2500</v>
      </c>
      <c r="C783" s="79" t="s">
        <v>8522</v>
      </c>
    </row>
    <row r="784" spans="1:3" ht="31.5" x14ac:dyDescent="0.25">
      <c r="A784" s="62" t="s">
        <v>2501</v>
      </c>
      <c r="B784" s="63" t="s">
        <v>2502</v>
      </c>
      <c r="C784" s="79" t="s">
        <v>8522</v>
      </c>
    </row>
    <row r="785" spans="1:3" ht="31.5" x14ac:dyDescent="0.25">
      <c r="A785" s="62" t="s">
        <v>2503</v>
      </c>
      <c r="B785" s="63" t="s">
        <v>2504</v>
      </c>
      <c r="C785" s="79" t="s">
        <v>8522</v>
      </c>
    </row>
    <row r="786" spans="1:3" ht="31.5" x14ac:dyDescent="0.25">
      <c r="A786" s="62" t="s">
        <v>2505</v>
      </c>
      <c r="B786" s="63" t="s">
        <v>2506</v>
      </c>
      <c r="C786" s="79" t="s">
        <v>8523</v>
      </c>
    </row>
    <row r="787" spans="1:3" ht="31.5" x14ac:dyDescent="0.25">
      <c r="A787" s="62" t="s">
        <v>2507</v>
      </c>
      <c r="B787" s="63" t="s">
        <v>2508</v>
      </c>
      <c r="C787" s="79" t="s">
        <v>8523</v>
      </c>
    </row>
    <row r="788" spans="1:3" ht="31.5" x14ac:dyDescent="0.25">
      <c r="A788" s="62" t="s">
        <v>2509</v>
      </c>
      <c r="B788" s="63" t="s">
        <v>2510</v>
      </c>
      <c r="C788" s="79" t="s">
        <v>8523</v>
      </c>
    </row>
    <row r="789" spans="1:3" ht="31.5" x14ac:dyDescent="0.25">
      <c r="A789" s="62" t="s">
        <v>2511</v>
      </c>
      <c r="B789" s="63" t="s">
        <v>2512</v>
      </c>
      <c r="C789" s="79" t="s">
        <v>8523</v>
      </c>
    </row>
    <row r="790" spans="1:3" ht="18" x14ac:dyDescent="0.25">
      <c r="A790" s="182"/>
      <c r="B790" s="182" t="s">
        <v>8525</v>
      </c>
      <c r="C790" s="183"/>
    </row>
    <row r="791" spans="1:3" ht="31.5" x14ac:dyDescent="0.25">
      <c r="A791" s="62" t="s">
        <v>2513</v>
      </c>
      <c r="B791" s="63" t="s">
        <v>2514</v>
      </c>
      <c r="C791" s="79" t="s">
        <v>8521</v>
      </c>
    </row>
    <row r="792" spans="1:3" ht="31.5" x14ac:dyDescent="0.25">
      <c r="A792" s="62" t="s">
        <v>2515</v>
      </c>
      <c r="B792" s="63" t="s">
        <v>2516</v>
      </c>
      <c r="C792" s="79" t="s">
        <v>8521</v>
      </c>
    </row>
    <row r="793" spans="1:3" ht="31.5" x14ac:dyDescent="0.25">
      <c r="A793" s="62" t="s">
        <v>2517</v>
      </c>
      <c r="B793" s="63" t="s">
        <v>2518</v>
      </c>
      <c r="C793" s="79" t="s">
        <v>8521</v>
      </c>
    </row>
    <row r="794" spans="1:3" ht="31.5" x14ac:dyDescent="0.25">
      <c r="A794" s="62" t="s">
        <v>2519</v>
      </c>
      <c r="B794" s="63" t="s">
        <v>2520</v>
      </c>
      <c r="C794" s="79" t="s">
        <v>8521</v>
      </c>
    </row>
    <row r="795" spans="1:3" ht="31.5" x14ac:dyDescent="0.25">
      <c r="A795" s="62" t="s">
        <v>2521</v>
      </c>
      <c r="B795" s="63" t="s">
        <v>2522</v>
      </c>
      <c r="C795" s="79" t="s">
        <v>8522</v>
      </c>
    </row>
    <row r="796" spans="1:3" ht="31.5" x14ac:dyDescent="0.25">
      <c r="A796" s="62" t="s">
        <v>2523</v>
      </c>
      <c r="B796" s="63" t="s">
        <v>2524</v>
      </c>
      <c r="C796" s="79" t="s">
        <v>8522</v>
      </c>
    </row>
    <row r="797" spans="1:3" ht="31.5" x14ac:dyDescent="0.25">
      <c r="A797" s="62" t="s">
        <v>2525</v>
      </c>
      <c r="B797" s="63" t="s">
        <v>2526</v>
      </c>
      <c r="C797" s="79" t="s">
        <v>8522</v>
      </c>
    </row>
    <row r="798" spans="1:3" ht="31.5" x14ac:dyDescent="0.25">
      <c r="A798" s="62" t="s">
        <v>2527</v>
      </c>
      <c r="B798" s="63" t="s">
        <v>2528</v>
      </c>
      <c r="C798" s="79" t="s">
        <v>8522</v>
      </c>
    </row>
    <row r="799" spans="1:3" ht="31.5" x14ac:dyDescent="0.25">
      <c r="A799" s="62" t="s">
        <v>2529</v>
      </c>
      <c r="B799" s="63" t="s">
        <v>2530</v>
      </c>
      <c r="C799" s="79" t="s">
        <v>8522</v>
      </c>
    </row>
    <row r="800" spans="1:3" ht="31.5" x14ac:dyDescent="0.25">
      <c r="A800" s="62" t="s">
        <v>2531</v>
      </c>
      <c r="B800" s="63" t="s">
        <v>2532</v>
      </c>
      <c r="C800" s="79" t="s">
        <v>8522</v>
      </c>
    </row>
    <row r="801" spans="1:3" ht="31.5" x14ac:dyDescent="0.25">
      <c r="A801" s="62" t="s">
        <v>2533</v>
      </c>
      <c r="B801" s="63" t="s">
        <v>2534</v>
      </c>
      <c r="C801" s="79" t="s">
        <v>8522</v>
      </c>
    </row>
    <row r="802" spans="1:3" ht="31.5" x14ac:dyDescent="0.25">
      <c r="A802" s="62" t="s">
        <v>2535</v>
      </c>
      <c r="B802" s="63" t="s">
        <v>2536</v>
      </c>
      <c r="C802" s="79" t="s">
        <v>8522</v>
      </c>
    </row>
    <row r="803" spans="1:3" ht="31.5" x14ac:dyDescent="0.25">
      <c r="A803" s="62" t="s">
        <v>2537</v>
      </c>
      <c r="B803" s="63" t="s">
        <v>2538</v>
      </c>
      <c r="C803" s="79" t="s">
        <v>8522</v>
      </c>
    </row>
    <row r="804" spans="1:3" ht="31.5" x14ac:dyDescent="0.25">
      <c r="A804" s="62" t="s">
        <v>2539</v>
      </c>
      <c r="B804" s="63" t="s">
        <v>2540</v>
      </c>
      <c r="C804" s="79" t="s">
        <v>8522</v>
      </c>
    </row>
    <row r="805" spans="1:3" ht="31.5" x14ac:dyDescent="0.25">
      <c r="A805" s="62" t="s">
        <v>2541</v>
      </c>
      <c r="B805" s="63" t="s">
        <v>2542</v>
      </c>
      <c r="C805" s="79" t="s">
        <v>8523</v>
      </c>
    </row>
    <row r="806" spans="1:3" ht="31.5" x14ac:dyDescent="0.25">
      <c r="A806" s="62" t="s">
        <v>2543</v>
      </c>
      <c r="B806" s="63" t="s">
        <v>2544</v>
      </c>
      <c r="C806" s="79" t="s">
        <v>8523</v>
      </c>
    </row>
    <row r="807" spans="1:3" ht="31.5" x14ac:dyDescent="0.25">
      <c r="A807" s="62" t="s">
        <v>2545</v>
      </c>
      <c r="B807" s="63" t="s">
        <v>2546</v>
      </c>
      <c r="C807" s="79" t="s">
        <v>8523</v>
      </c>
    </row>
    <row r="808" spans="1:3" ht="31.5" x14ac:dyDescent="0.25">
      <c r="A808" s="62" t="s">
        <v>2547</v>
      </c>
      <c r="B808" s="63" t="s">
        <v>2548</v>
      </c>
      <c r="C808" s="79" t="s">
        <v>8523</v>
      </c>
    </row>
    <row r="809" spans="1:3" ht="18" x14ac:dyDescent="0.25">
      <c r="A809" s="182"/>
      <c r="B809" s="182" t="s">
        <v>8526</v>
      </c>
      <c r="C809" s="183"/>
    </row>
    <row r="810" spans="1:3" ht="31.5" x14ac:dyDescent="0.25">
      <c r="A810" s="62" t="s">
        <v>2549</v>
      </c>
      <c r="B810" s="63" t="s">
        <v>2550</v>
      </c>
      <c r="C810" s="79" t="s">
        <v>8527</v>
      </c>
    </row>
    <row r="811" spans="1:3" ht="31.5" x14ac:dyDescent="0.25">
      <c r="A811" s="62" t="s">
        <v>2551</v>
      </c>
      <c r="B811" s="63" t="s">
        <v>2552</v>
      </c>
      <c r="C811" s="79" t="s">
        <v>8527</v>
      </c>
    </row>
    <row r="812" spans="1:3" ht="31.5" x14ac:dyDescent="0.25">
      <c r="A812" s="62" t="s">
        <v>2553</v>
      </c>
      <c r="B812" s="63" t="s">
        <v>2554</v>
      </c>
      <c r="C812" s="79" t="s">
        <v>8527</v>
      </c>
    </row>
    <row r="813" spans="1:3" ht="31.5" x14ac:dyDescent="0.25">
      <c r="A813" s="62" t="s">
        <v>2555</v>
      </c>
      <c r="B813" s="63" t="s">
        <v>2556</v>
      </c>
      <c r="C813" s="79" t="s">
        <v>8527</v>
      </c>
    </row>
    <row r="814" spans="1:3" ht="31.5" x14ac:dyDescent="0.25">
      <c r="A814" s="62" t="s">
        <v>2557</v>
      </c>
      <c r="B814" s="63" t="s">
        <v>2558</v>
      </c>
      <c r="C814" s="79" t="s">
        <v>8348</v>
      </c>
    </row>
    <row r="815" spans="1:3" ht="31.5" x14ac:dyDescent="0.25">
      <c r="A815" s="62" t="s">
        <v>2559</v>
      </c>
      <c r="B815" s="63" t="s">
        <v>2560</v>
      </c>
      <c r="C815" s="79" t="s">
        <v>8348</v>
      </c>
    </row>
    <row r="816" spans="1:3" ht="31.5" x14ac:dyDescent="0.25">
      <c r="A816" s="62" t="s">
        <v>2561</v>
      </c>
      <c r="B816" s="63" t="s">
        <v>2562</v>
      </c>
      <c r="C816" s="79" t="s">
        <v>8348</v>
      </c>
    </row>
    <row r="817" spans="1:3" ht="31.5" x14ac:dyDescent="0.25">
      <c r="A817" s="62" t="s">
        <v>2563</v>
      </c>
      <c r="B817" s="63" t="s">
        <v>2564</v>
      </c>
      <c r="C817" s="79" t="s">
        <v>8348</v>
      </c>
    </row>
    <row r="818" spans="1:3" ht="31.5" x14ac:dyDescent="0.25">
      <c r="A818" s="62" t="s">
        <v>2565</v>
      </c>
      <c r="B818" s="63" t="s">
        <v>2566</v>
      </c>
      <c r="C818" s="79" t="s">
        <v>8528</v>
      </c>
    </row>
    <row r="819" spans="1:3" ht="31.5" x14ac:dyDescent="0.25">
      <c r="A819" s="62" t="s">
        <v>2567</v>
      </c>
      <c r="B819" s="63" t="s">
        <v>2568</v>
      </c>
      <c r="C819" s="79" t="s">
        <v>8528</v>
      </c>
    </row>
    <row r="820" spans="1:3" ht="31.5" x14ac:dyDescent="0.25">
      <c r="A820" s="62" t="s">
        <v>2569</v>
      </c>
      <c r="B820" s="63" t="s">
        <v>2570</v>
      </c>
      <c r="C820" s="79" t="s">
        <v>8528</v>
      </c>
    </row>
    <row r="821" spans="1:3" ht="31.5" x14ac:dyDescent="0.25">
      <c r="A821" s="62" t="s">
        <v>2571</v>
      </c>
      <c r="B821" s="63" t="s">
        <v>2572</v>
      </c>
      <c r="C821" s="79" t="s">
        <v>8528</v>
      </c>
    </row>
    <row r="822" spans="1:3" ht="31.5" x14ac:dyDescent="0.25">
      <c r="A822" s="62" t="s">
        <v>2573</v>
      </c>
      <c r="B822" s="63" t="s">
        <v>2574</v>
      </c>
      <c r="C822" s="79" t="s">
        <v>8528</v>
      </c>
    </row>
    <row r="823" spans="1:3" ht="31.5" x14ac:dyDescent="0.25">
      <c r="A823" s="62" t="s">
        <v>2575</v>
      </c>
      <c r="B823" s="63" t="s">
        <v>2576</v>
      </c>
      <c r="C823" s="79" t="s">
        <v>8528</v>
      </c>
    </row>
    <row r="824" spans="1:3" ht="31.5" x14ac:dyDescent="0.25">
      <c r="A824" s="62" t="s">
        <v>2577</v>
      </c>
      <c r="B824" s="63" t="s">
        <v>2578</v>
      </c>
      <c r="C824" s="79" t="s">
        <v>8529</v>
      </c>
    </row>
    <row r="825" spans="1:3" ht="31.5" x14ac:dyDescent="0.25">
      <c r="A825" s="62" t="s">
        <v>2579</v>
      </c>
      <c r="B825" s="63" t="s">
        <v>2580</v>
      </c>
      <c r="C825" s="79" t="s">
        <v>8529</v>
      </c>
    </row>
    <row r="826" spans="1:3" ht="31.5" x14ac:dyDescent="0.25">
      <c r="A826" s="62" t="s">
        <v>2581</v>
      </c>
      <c r="B826" s="63" t="s">
        <v>2582</v>
      </c>
      <c r="C826" s="79" t="s">
        <v>8529</v>
      </c>
    </row>
    <row r="827" spans="1:3" ht="31.5" x14ac:dyDescent="0.25">
      <c r="A827" s="62" t="s">
        <v>2583</v>
      </c>
      <c r="B827" s="63" t="s">
        <v>2584</v>
      </c>
      <c r="C827" s="79" t="s">
        <v>8529</v>
      </c>
    </row>
    <row r="828" spans="1:3" ht="18" x14ac:dyDescent="0.25">
      <c r="A828" s="182"/>
      <c r="B828" s="182" t="s">
        <v>8530</v>
      </c>
      <c r="C828" s="183"/>
    </row>
    <row r="829" spans="1:3" ht="31.5" x14ac:dyDescent="0.25">
      <c r="A829" s="62" t="s">
        <v>2585</v>
      </c>
      <c r="B829" s="63" t="s">
        <v>2586</v>
      </c>
      <c r="C829" s="79" t="s">
        <v>8527</v>
      </c>
    </row>
    <row r="830" spans="1:3" ht="31.5" x14ac:dyDescent="0.25">
      <c r="A830" s="62" t="s">
        <v>2587</v>
      </c>
      <c r="B830" s="63" t="s">
        <v>2588</v>
      </c>
      <c r="C830" s="79" t="s">
        <v>8527</v>
      </c>
    </row>
    <row r="831" spans="1:3" ht="31.5" x14ac:dyDescent="0.25">
      <c r="A831" s="62" t="s">
        <v>2589</v>
      </c>
      <c r="B831" s="63" t="s">
        <v>2590</v>
      </c>
      <c r="C831" s="79" t="s">
        <v>8527</v>
      </c>
    </row>
    <row r="832" spans="1:3" ht="31.5" x14ac:dyDescent="0.25">
      <c r="A832" s="62" t="s">
        <v>2591</v>
      </c>
      <c r="B832" s="63" t="s">
        <v>2592</v>
      </c>
      <c r="C832" s="79" t="s">
        <v>8527</v>
      </c>
    </row>
    <row r="833" spans="1:3" ht="31.5" x14ac:dyDescent="0.25">
      <c r="A833" s="62" t="s">
        <v>2593</v>
      </c>
      <c r="B833" s="63" t="s">
        <v>2594</v>
      </c>
      <c r="C833" s="79" t="s">
        <v>8348</v>
      </c>
    </row>
    <row r="834" spans="1:3" ht="31.5" x14ac:dyDescent="0.25">
      <c r="A834" s="62" t="s">
        <v>2595</v>
      </c>
      <c r="B834" s="63" t="s">
        <v>2596</v>
      </c>
      <c r="C834" s="79" t="s">
        <v>8348</v>
      </c>
    </row>
    <row r="835" spans="1:3" ht="31.5" x14ac:dyDescent="0.25">
      <c r="A835" s="62" t="s">
        <v>2597</v>
      </c>
      <c r="B835" s="63" t="s">
        <v>2598</v>
      </c>
      <c r="C835" s="79" t="s">
        <v>8348</v>
      </c>
    </row>
    <row r="836" spans="1:3" ht="31.5" x14ac:dyDescent="0.25">
      <c r="A836" s="62" t="s">
        <v>2599</v>
      </c>
      <c r="B836" s="63" t="s">
        <v>2600</v>
      </c>
      <c r="C836" s="79" t="s">
        <v>8348</v>
      </c>
    </row>
    <row r="837" spans="1:3" ht="31.5" x14ac:dyDescent="0.25">
      <c r="A837" s="62" t="s">
        <v>2601</v>
      </c>
      <c r="B837" s="63" t="s">
        <v>2602</v>
      </c>
      <c r="C837" s="79" t="s">
        <v>8528</v>
      </c>
    </row>
    <row r="838" spans="1:3" ht="31.5" x14ac:dyDescent="0.25">
      <c r="A838" s="62" t="s">
        <v>2603</v>
      </c>
      <c r="B838" s="63" t="s">
        <v>2604</v>
      </c>
      <c r="C838" s="79" t="s">
        <v>8528</v>
      </c>
    </row>
    <row r="839" spans="1:3" ht="31.5" x14ac:dyDescent="0.25">
      <c r="A839" s="62" t="s">
        <v>2605</v>
      </c>
      <c r="B839" s="63" t="s">
        <v>2606</v>
      </c>
      <c r="C839" s="79" t="s">
        <v>8528</v>
      </c>
    </row>
    <row r="840" spans="1:3" ht="31.5" x14ac:dyDescent="0.25">
      <c r="A840" s="62" t="s">
        <v>2607</v>
      </c>
      <c r="B840" s="63" t="s">
        <v>2608</v>
      </c>
      <c r="C840" s="79" t="s">
        <v>8528</v>
      </c>
    </row>
    <row r="841" spans="1:3" ht="31.5" x14ac:dyDescent="0.25">
      <c r="A841" s="62" t="s">
        <v>2609</v>
      </c>
      <c r="B841" s="63" t="s">
        <v>2610</v>
      </c>
      <c r="C841" s="79" t="s">
        <v>8528</v>
      </c>
    </row>
    <row r="842" spans="1:3" ht="31.5" x14ac:dyDescent="0.25">
      <c r="A842" s="62" t="s">
        <v>2611</v>
      </c>
      <c r="B842" s="63" t="s">
        <v>2612</v>
      </c>
      <c r="C842" s="79" t="s">
        <v>8528</v>
      </c>
    </row>
    <row r="843" spans="1:3" ht="31.5" x14ac:dyDescent="0.25">
      <c r="A843" s="62" t="s">
        <v>2613</v>
      </c>
      <c r="B843" s="63" t="s">
        <v>2614</v>
      </c>
      <c r="C843" s="79" t="s">
        <v>8529</v>
      </c>
    </row>
    <row r="844" spans="1:3" ht="31.5" x14ac:dyDescent="0.25">
      <c r="A844" s="62" t="s">
        <v>2615</v>
      </c>
      <c r="B844" s="63" t="s">
        <v>2616</v>
      </c>
      <c r="C844" s="79" t="s">
        <v>8529</v>
      </c>
    </row>
    <row r="845" spans="1:3" ht="31.5" x14ac:dyDescent="0.25">
      <c r="A845" s="62" t="s">
        <v>2617</v>
      </c>
      <c r="B845" s="63" t="s">
        <v>2618</v>
      </c>
      <c r="C845" s="79" t="s">
        <v>8529</v>
      </c>
    </row>
    <row r="846" spans="1:3" ht="31.5" x14ac:dyDescent="0.25">
      <c r="A846" s="62" t="s">
        <v>2619</v>
      </c>
      <c r="B846" s="63" t="s">
        <v>2620</v>
      </c>
      <c r="C846" s="79" t="s">
        <v>8529</v>
      </c>
    </row>
    <row r="847" spans="1:3" ht="18" x14ac:dyDescent="0.25">
      <c r="A847" s="182"/>
      <c r="B847" s="182" t="s">
        <v>8531</v>
      </c>
      <c r="C847" s="183"/>
    </row>
    <row r="848" spans="1:3" ht="31.5" x14ac:dyDescent="0.25">
      <c r="A848" s="62" t="s">
        <v>2621</v>
      </c>
      <c r="B848" s="63" t="s">
        <v>2622</v>
      </c>
      <c r="C848" s="79" t="s">
        <v>8527</v>
      </c>
    </row>
    <row r="849" spans="1:3" ht="31.5" x14ac:dyDescent="0.25">
      <c r="A849" s="62" t="s">
        <v>2623</v>
      </c>
      <c r="B849" s="63" t="s">
        <v>2624</v>
      </c>
      <c r="C849" s="79" t="s">
        <v>8527</v>
      </c>
    </row>
    <row r="850" spans="1:3" ht="31.5" x14ac:dyDescent="0.25">
      <c r="A850" s="62" t="s">
        <v>2625</v>
      </c>
      <c r="B850" s="63" t="s">
        <v>2626</v>
      </c>
      <c r="C850" s="79" t="s">
        <v>8527</v>
      </c>
    </row>
    <row r="851" spans="1:3" ht="31.5" x14ac:dyDescent="0.25">
      <c r="A851" s="62" t="s">
        <v>2627</v>
      </c>
      <c r="B851" s="63" t="s">
        <v>2628</v>
      </c>
      <c r="C851" s="79" t="s">
        <v>8527</v>
      </c>
    </row>
    <row r="852" spans="1:3" ht="31.5" x14ac:dyDescent="0.25">
      <c r="A852" s="62" t="s">
        <v>2629</v>
      </c>
      <c r="B852" s="63" t="s">
        <v>2630</v>
      </c>
      <c r="C852" s="79" t="s">
        <v>8348</v>
      </c>
    </row>
    <row r="853" spans="1:3" ht="31.5" x14ac:dyDescent="0.25">
      <c r="A853" s="62" t="s">
        <v>2631</v>
      </c>
      <c r="B853" s="63" t="s">
        <v>2632</v>
      </c>
      <c r="C853" s="79" t="s">
        <v>8348</v>
      </c>
    </row>
    <row r="854" spans="1:3" ht="31.5" x14ac:dyDescent="0.25">
      <c r="A854" s="62" t="s">
        <v>2633</v>
      </c>
      <c r="B854" s="63" t="s">
        <v>2634</v>
      </c>
      <c r="C854" s="79" t="s">
        <v>8348</v>
      </c>
    </row>
    <row r="855" spans="1:3" ht="31.5" x14ac:dyDescent="0.25">
      <c r="A855" s="62" t="s">
        <v>2635</v>
      </c>
      <c r="B855" s="63" t="s">
        <v>2636</v>
      </c>
      <c r="C855" s="79" t="s">
        <v>8348</v>
      </c>
    </row>
    <row r="856" spans="1:3" ht="31.5" x14ac:dyDescent="0.25">
      <c r="A856" s="62" t="s">
        <v>2637</v>
      </c>
      <c r="B856" s="63" t="s">
        <v>2638</v>
      </c>
      <c r="C856" s="79" t="s">
        <v>8528</v>
      </c>
    </row>
    <row r="857" spans="1:3" ht="31.5" x14ac:dyDescent="0.25">
      <c r="A857" s="62" t="s">
        <v>2639</v>
      </c>
      <c r="B857" s="63" t="s">
        <v>2640</v>
      </c>
      <c r="C857" s="79" t="s">
        <v>8528</v>
      </c>
    </row>
    <row r="858" spans="1:3" ht="31.5" x14ac:dyDescent="0.25">
      <c r="A858" s="62" t="s">
        <v>2641</v>
      </c>
      <c r="B858" s="63" t="s">
        <v>2642</v>
      </c>
      <c r="C858" s="79" t="s">
        <v>8528</v>
      </c>
    </row>
    <row r="859" spans="1:3" ht="31.5" x14ac:dyDescent="0.25">
      <c r="A859" s="62" t="s">
        <v>2643</v>
      </c>
      <c r="B859" s="63" t="s">
        <v>2644</v>
      </c>
      <c r="C859" s="79" t="s">
        <v>8528</v>
      </c>
    </row>
    <row r="860" spans="1:3" ht="31.5" x14ac:dyDescent="0.25">
      <c r="A860" s="62" t="s">
        <v>2645</v>
      </c>
      <c r="B860" s="63" t="s">
        <v>2646</v>
      </c>
      <c r="C860" s="79" t="s">
        <v>8528</v>
      </c>
    </row>
    <row r="861" spans="1:3" ht="31.5" x14ac:dyDescent="0.25">
      <c r="A861" s="62" t="s">
        <v>2647</v>
      </c>
      <c r="B861" s="63" t="s">
        <v>2648</v>
      </c>
      <c r="C861" s="79" t="s">
        <v>8528</v>
      </c>
    </row>
    <row r="862" spans="1:3" ht="31.5" x14ac:dyDescent="0.25">
      <c r="A862" s="62" t="s">
        <v>2649</v>
      </c>
      <c r="B862" s="63" t="s">
        <v>2650</v>
      </c>
      <c r="C862" s="79" t="s">
        <v>8529</v>
      </c>
    </row>
    <row r="863" spans="1:3" ht="31.5" x14ac:dyDescent="0.25">
      <c r="A863" s="62" t="s">
        <v>2651</v>
      </c>
      <c r="B863" s="63" t="s">
        <v>2652</v>
      </c>
      <c r="C863" s="79" t="s">
        <v>8529</v>
      </c>
    </row>
    <row r="864" spans="1:3" ht="31.5" x14ac:dyDescent="0.25">
      <c r="A864" s="62" t="s">
        <v>2653</v>
      </c>
      <c r="B864" s="63" t="s">
        <v>2654</v>
      </c>
      <c r="C864" s="79" t="s">
        <v>8529</v>
      </c>
    </row>
    <row r="865" spans="1:3" ht="31.5" x14ac:dyDescent="0.25">
      <c r="A865" s="62" t="s">
        <v>2655</v>
      </c>
      <c r="B865" s="63" t="s">
        <v>2656</v>
      </c>
      <c r="C865" s="79" t="s">
        <v>8529</v>
      </c>
    </row>
    <row r="866" spans="1:3" ht="31.5" x14ac:dyDescent="0.25">
      <c r="A866" s="62" t="s">
        <v>2657</v>
      </c>
      <c r="B866" s="63" t="s">
        <v>2658</v>
      </c>
      <c r="C866" s="79" t="s">
        <v>8527</v>
      </c>
    </row>
    <row r="867" spans="1:3" ht="31.5" x14ac:dyDescent="0.25">
      <c r="A867" s="62" t="s">
        <v>2659</v>
      </c>
      <c r="B867" s="63" t="s">
        <v>2660</v>
      </c>
      <c r="C867" s="79" t="s">
        <v>8527</v>
      </c>
    </row>
    <row r="868" spans="1:3" ht="31.5" x14ac:dyDescent="0.25">
      <c r="A868" s="62" t="s">
        <v>2661</v>
      </c>
      <c r="B868" s="63" t="s">
        <v>2662</v>
      </c>
      <c r="C868" s="79" t="s">
        <v>8527</v>
      </c>
    </row>
    <row r="869" spans="1:3" ht="31.5" x14ac:dyDescent="0.25">
      <c r="A869" s="62" t="s">
        <v>2663</v>
      </c>
      <c r="B869" s="63" t="s">
        <v>2664</v>
      </c>
      <c r="C869" s="79" t="s">
        <v>8527</v>
      </c>
    </row>
    <row r="870" spans="1:3" ht="31.5" x14ac:dyDescent="0.25">
      <c r="A870" s="62" t="s">
        <v>2665</v>
      </c>
      <c r="B870" s="63" t="s">
        <v>2666</v>
      </c>
      <c r="C870" s="79" t="s">
        <v>8348</v>
      </c>
    </row>
    <row r="871" spans="1:3" ht="31.5" x14ac:dyDescent="0.25">
      <c r="A871" s="62" t="s">
        <v>2667</v>
      </c>
      <c r="B871" s="63" t="s">
        <v>2668</v>
      </c>
      <c r="C871" s="79" t="s">
        <v>8348</v>
      </c>
    </row>
    <row r="872" spans="1:3" ht="31.5" x14ac:dyDescent="0.25">
      <c r="A872" s="62" t="s">
        <v>2669</v>
      </c>
      <c r="B872" s="63" t="s">
        <v>2670</v>
      </c>
      <c r="C872" s="79" t="s">
        <v>8348</v>
      </c>
    </row>
    <row r="873" spans="1:3" ht="31.5" x14ac:dyDescent="0.25">
      <c r="A873" s="62" t="s">
        <v>2671</v>
      </c>
      <c r="B873" s="63" t="s">
        <v>2672</v>
      </c>
      <c r="C873" s="79" t="s">
        <v>8348</v>
      </c>
    </row>
    <row r="874" spans="1:3" ht="31.5" x14ac:dyDescent="0.25">
      <c r="A874" s="62" t="s">
        <v>2673</v>
      </c>
      <c r="B874" s="63" t="s">
        <v>2674</v>
      </c>
      <c r="C874" s="79" t="s">
        <v>8528</v>
      </c>
    </row>
    <row r="875" spans="1:3" ht="31.5" x14ac:dyDescent="0.25">
      <c r="A875" s="62" t="s">
        <v>2675</v>
      </c>
      <c r="B875" s="63" t="s">
        <v>2676</v>
      </c>
      <c r="C875" s="79" t="s">
        <v>8528</v>
      </c>
    </row>
    <row r="876" spans="1:3" ht="31.5" x14ac:dyDescent="0.25">
      <c r="A876" s="62" t="s">
        <v>2677</v>
      </c>
      <c r="B876" s="63" t="s">
        <v>2678</v>
      </c>
      <c r="C876" s="79" t="s">
        <v>8528</v>
      </c>
    </row>
    <row r="877" spans="1:3" ht="31.5" x14ac:dyDescent="0.25">
      <c r="A877" s="62" t="s">
        <v>2679</v>
      </c>
      <c r="B877" s="63" t="s">
        <v>2680</v>
      </c>
      <c r="C877" s="79" t="s">
        <v>8528</v>
      </c>
    </row>
    <row r="878" spans="1:3" ht="31.5" x14ac:dyDescent="0.25">
      <c r="A878" s="62" t="s">
        <v>2681</v>
      </c>
      <c r="B878" s="63" t="s">
        <v>2682</v>
      </c>
      <c r="C878" s="79" t="s">
        <v>8528</v>
      </c>
    </row>
    <row r="879" spans="1:3" ht="31.5" x14ac:dyDescent="0.25">
      <c r="A879" s="62" t="s">
        <v>2683</v>
      </c>
      <c r="B879" s="63" t="s">
        <v>2684</v>
      </c>
      <c r="C879" s="79" t="s">
        <v>8528</v>
      </c>
    </row>
    <row r="880" spans="1:3" ht="31.5" x14ac:dyDescent="0.25">
      <c r="A880" s="62" t="s">
        <v>2685</v>
      </c>
      <c r="B880" s="63" t="s">
        <v>2686</v>
      </c>
      <c r="C880" s="79" t="s">
        <v>8529</v>
      </c>
    </row>
    <row r="881" spans="1:3" ht="31.5" x14ac:dyDescent="0.25">
      <c r="A881" s="62" t="s">
        <v>2687</v>
      </c>
      <c r="B881" s="63" t="s">
        <v>2688</v>
      </c>
      <c r="C881" s="79" t="s">
        <v>8529</v>
      </c>
    </row>
    <row r="882" spans="1:3" ht="31.5" x14ac:dyDescent="0.25">
      <c r="A882" s="62" t="s">
        <v>2689</v>
      </c>
      <c r="B882" s="63" t="s">
        <v>2690</v>
      </c>
      <c r="C882" s="79" t="s">
        <v>8529</v>
      </c>
    </row>
    <row r="883" spans="1:3" ht="31.5" x14ac:dyDescent="0.25">
      <c r="A883" s="62" t="s">
        <v>2691</v>
      </c>
      <c r="B883" s="63" t="s">
        <v>2692</v>
      </c>
      <c r="C883" s="79" t="s">
        <v>8529</v>
      </c>
    </row>
    <row r="884" spans="1:3" ht="31.5" x14ac:dyDescent="0.25">
      <c r="A884" s="62" t="s">
        <v>2693</v>
      </c>
      <c r="B884" s="63" t="s">
        <v>2694</v>
      </c>
      <c r="C884" s="79" t="s">
        <v>8350</v>
      </c>
    </row>
    <row r="885" spans="1:3" ht="31.5" x14ac:dyDescent="0.25">
      <c r="A885" s="62" t="s">
        <v>2695</v>
      </c>
      <c r="B885" s="63" t="s">
        <v>2696</v>
      </c>
      <c r="C885" s="79" t="s">
        <v>8350</v>
      </c>
    </row>
    <row r="886" spans="1:3" ht="31.5" x14ac:dyDescent="0.25">
      <c r="A886" s="62" t="s">
        <v>2697</v>
      </c>
      <c r="B886" s="63" t="s">
        <v>2698</v>
      </c>
      <c r="C886" s="79" t="s">
        <v>8350</v>
      </c>
    </row>
    <row r="887" spans="1:3" ht="18" x14ac:dyDescent="0.25">
      <c r="A887" s="182"/>
      <c r="B887" s="182" t="s">
        <v>8532</v>
      </c>
      <c r="C887" s="183"/>
    </row>
    <row r="888" spans="1:3" ht="31.5" x14ac:dyDescent="0.25">
      <c r="A888" s="62" t="s">
        <v>2699</v>
      </c>
      <c r="B888" s="63" t="s">
        <v>2700</v>
      </c>
      <c r="C888" s="79" t="s">
        <v>8533</v>
      </c>
    </row>
    <row r="889" spans="1:3" ht="31.5" x14ac:dyDescent="0.25">
      <c r="A889" s="62" t="s">
        <v>2701</v>
      </c>
      <c r="B889" s="63" t="s">
        <v>2702</v>
      </c>
      <c r="C889" s="79" t="s">
        <v>8533</v>
      </c>
    </row>
    <row r="890" spans="1:3" ht="31.5" x14ac:dyDescent="0.25">
      <c r="A890" s="62" t="s">
        <v>2703</v>
      </c>
      <c r="B890" s="63" t="s">
        <v>2704</v>
      </c>
      <c r="C890" s="79" t="s">
        <v>8533</v>
      </c>
    </row>
    <row r="891" spans="1:3" ht="31.5" x14ac:dyDescent="0.25">
      <c r="A891" s="62" t="s">
        <v>2705</v>
      </c>
      <c r="B891" s="63" t="s">
        <v>2706</v>
      </c>
      <c r="C891" s="79" t="s">
        <v>8533</v>
      </c>
    </row>
    <row r="892" spans="1:3" ht="31.5" x14ac:dyDescent="0.25">
      <c r="A892" s="62" t="s">
        <v>2707</v>
      </c>
      <c r="B892" s="63" t="s">
        <v>2708</v>
      </c>
      <c r="C892" s="79" t="s">
        <v>8534</v>
      </c>
    </row>
    <row r="893" spans="1:3" ht="31.5" x14ac:dyDescent="0.25">
      <c r="A893" s="62" t="s">
        <v>2709</v>
      </c>
      <c r="B893" s="63" t="s">
        <v>2710</v>
      </c>
      <c r="C893" s="79" t="s">
        <v>8534</v>
      </c>
    </row>
    <row r="894" spans="1:3" ht="31.5" x14ac:dyDescent="0.25">
      <c r="A894" s="62" t="s">
        <v>2711</v>
      </c>
      <c r="B894" s="63" t="s">
        <v>2712</v>
      </c>
      <c r="C894" s="79" t="s">
        <v>8534</v>
      </c>
    </row>
    <row r="895" spans="1:3" ht="31.5" x14ac:dyDescent="0.25">
      <c r="A895" s="62" t="s">
        <v>2713</v>
      </c>
      <c r="B895" s="63" t="s">
        <v>2714</v>
      </c>
      <c r="C895" s="79" t="s">
        <v>8534</v>
      </c>
    </row>
    <row r="896" spans="1:3" ht="18" x14ac:dyDescent="0.25">
      <c r="A896" s="182"/>
      <c r="B896" s="182" t="s">
        <v>8535</v>
      </c>
      <c r="C896" s="183"/>
    </row>
    <row r="897" spans="1:3" ht="31.5" x14ac:dyDescent="0.25">
      <c r="A897" s="62" t="s">
        <v>2715</v>
      </c>
      <c r="B897" s="63" t="s">
        <v>2716</v>
      </c>
      <c r="C897" s="79" t="s">
        <v>8533</v>
      </c>
    </row>
    <row r="898" spans="1:3" ht="31.5" x14ac:dyDescent="0.25">
      <c r="A898" s="62" t="s">
        <v>2717</v>
      </c>
      <c r="B898" s="63" t="s">
        <v>2718</v>
      </c>
      <c r="C898" s="79" t="s">
        <v>8533</v>
      </c>
    </row>
    <row r="899" spans="1:3" ht="31.5" x14ac:dyDescent="0.25">
      <c r="A899" s="62" t="s">
        <v>2719</v>
      </c>
      <c r="B899" s="63" t="s">
        <v>2720</v>
      </c>
      <c r="C899" s="79" t="s">
        <v>8533</v>
      </c>
    </row>
    <row r="900" spans="1:3" ht="31.5" x14ac:dyDescent="0.25">
      <c r="A900" s="62" t="s">
        <v>2721</v>
      </c>
      <c r="B900" s="63" t="s">
        <v>2722</v>
      </c>
      <c r="C900" s="79" t="s">
        <v>8533</v>
      </c>
    </row>
    <row r="901" spans="1:3" ht="31.5" x14ac:dyDescent="0.25">
      <c r="A901" s="62" t="s">
        <v>2723</v>
      </c>
      <c r="B901" s="63" t="s">
        <v>2724</v>
      </c>
      <c r="C901" s="79" t="s">
        <v>8534</v>
      </c>
    </row>
    <row r="902" spans="1:3" ht="31.5" x14ac:dyDescent="0.25">
      <c r="A902" s="62" t="s">
        <v>2725</v>
      </c>
      <c r="B902" s="63" t="s">
        <v>2726</v>
      </c>
      <c r="C902" s="79" t="s">
        <v>8534</v>
      </c>
    </row>
    <row r="903" spans="1:3" ht="31.5" x14ac:dyDescent="0.25">
      <c r="A903" s="62" t="s">
        <v>2727</v>
      </c>
      <c r="B903" s="63" t="s">
        <v>2728</v>
      </c>
      <c r="C903" s="79" t="s">
        <v>8534</v>
      </c>
    </row>
    <row r="904" spans="1:3" ht="31.5" x14ac:dyDescent="0.25">
      <c r="A904" s="62" t="s">
        <v>2729</v>
      </c>
      <c r="B904" s="63" t="s">
        <v>2730</v>
      </c>
      <c r="C904" s="79" t="s">
        <v>8534</v>
      </c>
    </row>
    <row r="905" spans="1:3" ht="18" x14ac:dyDescent="0.25">
      <c r="A905" s="182"/>
      <c r="B905" s="182" t="s">
        <v>8536</v>
      </c>
      <c r="C905" s="183"/>
    </row>
    <row r="906" spans="1:3" ht="31.5" x14ac:dyDescent="0.25">
      <c r="A906" s="62" t="s">
        <v>2731</v>
      </c>
      <c r="B906" s="63" t="s">
        <v>2732</v>
      </c>
      <c r="C906" s="79" t="s">
        <v>8533</v>
      </c>
    </row>
    <row r="907" spans="1:3" ht="31.5" x14ac:dyDescent="0.25">
      <c r="A907" s="62" t="s">
        <v>2733</v>
      </c>
      <c r="B907" s="63" t="s">
        <v>2734</v>
      </c>
      <c r="C907" s="79" t="s">
        <v>8533</v>
      </c>
    </row>
    <row r="908" spans="1:3" ht="31.5" x14ac:dyDescent="0.25">
      <c r="A908" s="62" t="s">
        <v>2735</v>
      </c>
      <c r="B908" s="63" t="s">
        <v>2736</v>
      </c>
      <c r="C908" s="79" t="s">
        <v>8533</v>
      </c>
    </row>
    <row r="909" spans="1:3" ht="31.5" x14ac:dyDescent="0.25">
      <c r="A909" s="62" t="s">
        <v>2737</v>
      </c>
      <c r="B909" s="63" t="s">
        <v>2738</v>
      </c>
      <c r="C909" s="79" t="s">
        <v>8533</v>
      </c>
    </row>
    <row r="910" spans="1:3" ht="31.5" x14ac:dyDescent="0.25">
      <c r="A910" s="62" t="s">
        <v>2739</v>
      </c>
      <c r="B910" s="63" t="s">
        <v>2740</v>
      </c>
      <c r="C910" s="79" t="s">
        <v>8493</v>
      </c>
    </row>
    <row r="911" spans="1:3" ht="31.5" x14ac:dyDescent="0.25">
      <c r="A911" s="62" t="s">
        <v>2741</v>
      </c>
      <c r="B911" s="63" t="s">
        <v>2742</v>
      </c>
      <c r="C911" s="79" t="s">
        <v>8493</v>
      </c>
    </row>
    <row r="912" spans="1:3" ht="31.5" x14ac:dyDescent="0.25">
      <c r="A912" s="62" t="s">
        <v>2743</v>
      </c>
      <c r="B912" s="63" t="s">
        <v>2744</v>
      </c>
      <c r="C912" s="79" t="s">
        <v>8493</v>
      </c>
    </row>
    <row r="913" spans="1:3" ht="31.5" x14ac:dyDescent="0.25">
      <c r="A913" s="62" t="s">
        <v>2745</v>
      </c>
      <c r="B913" s="63" t="s">
        <v>2746</v>
      </c>
      <c r="C913" s="79" t="s">
        <v>8493</v>
      </c>
    </row>
    <row r="914" spans="1:3" ht="18" x14ac:dyDescent="0.25">
      <c r="A914" s="182"/>
      <c r="B914" s="182" t="s">
        <v>8537</v>
      </c>
      <c r="C914" s="183"/>
    </row>
    <row r="915" spans="1:3" x14ac:dyDescent="0.25">
      <c r="A915" s="62" t="s">
        <v>2747</v>
      </c>
      <c r="B915" s="63" t="s">
        <v>2748</v>
      </c>
      <c r="C915" s="79" t="s">
        <v>8538</v>
      </c>
    </row>
    <row r="916" spans="1:3" ht="31.5" x14ac:dyDescent="0.25">
      <c r="A916" s="62" t="s">
        <v>2749</v>
      </c>
      <c r="B916" s="63" t="s">
        <v>2750</v>
      </c>
      <c r="C916" s="79" t="s">
        <v>8539</v>
      </c>
    </row>
    <row r="917" spans="1:3" ht="18" x14ac:dyDescent="0.25">
      <c r="A917" s="182"/>
      <c r="B917" s="182" t="s">
        <v>8540</v>
      </c>
      <c r="C917" s="183"/>
    </row>
    <row r="918" spans="1:3" x14ac:dyDescent="0.25">
      <c r="A918" s="62" t="s">
        <v>2751</v>
      </c>
      <c r="B918" s="63" t="s">
        <v>2752</v>
      </c>
      <c r="C918" s="79" t="s">
        <v>8541</v>
      </c>
    </row>
    <row r="919" spans="1:3" x14ac:dyDescent="0.25">
      <c r="A919" s="62" t="s">
        <v>2753</v>
      </c>
      <c r="B919" s="63" t="s">
        <v>2754</v>
      </c>
      <c r="C919" s="79" t="s">
        <v>8541</v>
      </c>
    </row>
    <row r="920" spans="1:3" ht="18" x14ac:dyDescent="0.25">
      <c r="A920" s="182"/>
      <c r="B920" s="182" t="s">
        <v>8542</v>
      </c>
      <c r="C920" s="183"/>
    </row>
    <row r="921" spans="1:3" x14ac:dyDescent="0.25">
      <c r="A921" s="62" t="s">
        <v>2755</v>
      </c>
      <c r="B921" s="63" t="s">
        <v>2756</v>
      </c>
      <c r="C921" s="79" t="s">
        <v>8543</v>
      </c>
    </row>
    <row r="922" spans="1:3" ht="18" x14ac:dyDescent="0.25">
      <c r="A922" s="182"/>
      <c r="B922" s="182" t="s">
        <v>8544</v>
      </c>
      <c r="C922" s="183"/>
    </row>
    <row r="923" spans="1:3" ht="31.5" x14ac:dyDescent="0.25">
      <c r="A923" s="62" t="s">
        <v>2757</v>
      </c>
      <c r="B923" s="63" t="s">
        <v>2758</v>
      </c>
      <c r="C923" s="79" t="s">
        <v>8521</v>
      </c>
    </row>
    <row r="924" spans="1:3" ht="31.5" x14ac:dyDescent="0.25">
      <c r="A924" s="62" t="s">
        <v>2759</v>
      </c>
      <c r="B924" s="63" t="s">
        <v>2760</v>
      </c>
      <c r="C924" s="79" t="s">
        <v>8521</v>
      </c>
    </row>
    <row r="925" spans="1:3" ht="31.5" x14ac:dyDescent="0.25">
      <c r="A925" s="62" t="s">
        <v>2761</v>
      </c>
      <c r="B925" s="63" t="s">
        <v>2762</v>
      </c>
      <c r="C925" s="79" t="s">
        <v>8521</v>
      </c>
    </row>
    <row r="926" spans="1:3" ht="31.5" x14ac:dyDescent="0.25">
      <c r="A926" s="62" t="s">
        <v>2763</v>
      </c>
      <c r="B926" s="63" t="s">
        <v>2764</v>
      </c>
      <c r="C926" s="79" t="s">
        <v>8521</v>
      </c>
    </row>
    <row r="927" spans="1:3" ht="31.5" x14ac:dyDescent="0.25">
      <c r="A927" s="62" t="s">
        <v>2765</v>
      </c>
      <c r="B927" s="63" t="s">
        <v>2766</v>
      </c>
      <c r="C927" s="79" t="s">
        <v>8522</v>
      </c>
    </row>
    <row r="928" spans="1:3" ht="31.5" x14ac:dyDescent="0.25">
      <c r="A928" s="62" t="s">
        <v>2767</v>
      </c>
      <c r="B928" s="63" t="s">
        <v>2768</v>
      </c>
      <c r="C928" s="79" t="s">
        <v>8522</v>
      </c>
    </row>
    <row r="929" spans="1:3" ht="31.5" x14ac:dyDescent="0.25">
      <c r="A929" s="62" t="s">
        <v>2769</v>
      </c>
      <c r="B929" s="63" t="s">
        <v>2770</v>
      </c>
      <c r="C929" s="79" t="s">
        <v>8522</v>
      </c>
    </row>
    <row r="930" spans="1:3" ht="31.5" x14ac:dyDescent="0.25">
      <c r="A930" s="62" t="s">
        <v>2771</v>
      </c>
      <c r="B930" s="63" t="s">
        <v>2772</v>
      </c>
      <c r="C930" s="79" t="s">
        <v>8522</v>
      </c>
    </row>
    <row r="931" spans="1:3" ht="31.5" x14ac:dyDescent="0.25">
      <c r="A931" s="62" t="s">
        <v>2773</v>
      </c>
      <c r="B931" s="63" t="s">
        <v>2774</v>
      </c>
      <c r="C931" s="79" t="s">
        <v>8521</v>
      </c>
    </row>
    <row r="932" spans="1:3" ht="31.5" x14ac:dyDescent="0.25">
      <c r="A932" s="62" t="s">
        <v>2775</v>
      </c>
      <c r="B932" s="63" t="s">
        <v>2776</v>
      </c>
      <c r="C932" s="79" t="s">
        <v>8521</v>
      </c>
    </row>
    <row r="933" spans="1:3" ht="31.5" x14ac:dyDescent="0.25">
      <c r="A933" s="62" t="s">
        <v>2777</v>
      </c>
      <c r="B933" s="63" t="s">
        <v>2778</v>
      </c>
      <c r="C933" s="79" t="s">
        <v>8521</v>
      </c>
    </row>
    <row r="934" spans="1:3" ht="31.5" x14ac:dyDescent="0.25">
      <c r="A934" s="62" t="s">
        <v>2779</v>
      </c>
      <c r="B934" s="63" t="s">
        <v>2780</v>
      </c>
      <c r="C934" s="79" t="s">
        <v>8521</v>
      </c>
    </row>
    <row r="935" spans="1:3" ht="31.5" x14ac:dyDescent="0.25">
      <c r="A935" s="62" t="s">
        <v>2781</v>
      </c>
      <c r="B935" s="63" t="s">
        <v>2782</v>
      </c>
      <c r="C935" s="79" t="s">
        <v>8522</v>
      </c>
    </row>
    <row r="936" spans="1:3" ht="31.5" x14ac:dyDescent="0.25">
      <c r="A936" s="62" t="s">
        <v>2783</v>
      </c>
      <c r="B936" s="63" t="s">
        <v>2784</v>
      </c>
      <c r="C936" s="79" t="s">
        <v>8522</v>
      </c>
    </row>
    <row r="937" spans="1:3" ht="31.5" x14ac:dyDescent="0.25">
      <c r="A937" s="62" t="s">
        <v>2785</v>
      </c>
      <c r="B937" s="63" t="s">
        <v>2786</v>
      </c>
      <c r="C937" s="79" t="s">
        <v>8522</v>
      </c>
    </row>
    <row r="938" spans="1:3" ht="31.5" x14ac:dyDescent="0.25">
      <c r="A938" s="62" t="s">
        <v>2787</v>
      </c>
      <c r="B938" s="63" t="s">
        <v>2788</v>
      </c>
      <c r="C938" s="79" t="s">
        <v>8522</v>
      </c>
    </row>
    <row r="939" spans="1:3" ht="31.5" x14ac:dyDescent="0.25">
      <c r="A939" s="62" t="s">
        <v>2789</v>
      </c>
      <c r="B939" s="63" t="s">
        <v>2790</v>
      </c>
      <c r="C939" s="79" t="s">
        <v>8521</v>
      </c>
    </row>
    <row r="940" spans="1:3" ht="31.5" x14ac:dyDescent="0.25">
      <c r="A940" s="62" t="s">
        <v>2791</v>
      </c>
      <c r="B940" s="63" t="s">
        <v>2792</v>
      </c>
      <c r="C940" s="79" t="s">
        <v>8521</v>
      </c>
    </row>
    <row r="941" spans="1:3" ht="31.5" x14ac:dyDescent="0.25">
      <c r="A941" s="62" t="s">
        <v>2793</v>
      </c>
      <c r="B941" s="63" t="s">
        <v>2794</v>
      </c>
      <c r="C941" s="79" t="s">
        <v>8521</v>
      </c>
    </row>
    <row r="942" spans="1:3" ht="31.5" x14ac:dyDescent="0.25">
      <c r="A942" s="62" t="s">
        <v>2795</v>
      </c>
      <c r="B942" s="63" t="s">
        <v>2796</v>
      </c>
      <c r="C942" s="79" t="s">
        <v>8521</v>
      </c>
    </row>
    <row r="943" spans="1:3" ht="31.5" x14ac:dyDescent="0.25">
      <c r="A943" s="62" t="s">
        <v>2797</v>
      </c>
      <c r="B943" s="63" t="s">
        <v>2798</v>
      </c>
      <c r="C943" s="79" t="s">
        <v>8522</v>
      </c>
    </row>
    <row r="944" spans="1:3" ht="31.5" x14ac:dyDescent="0.25">
      <c r="A944" s="62" t="s">
        <v>2799</v>
      </c>
      <c r="B944" s="63" t="s">
        <v>2800</v>
      </c>
      <c r="C944" s="79" t="s">
        <v>8522</v>
      </c>
    </row>
    <row r="945" spans="1:8" ht="31.5" x14ac:dyDescent="0.25">
      <c r="A945" s="62" t="s">
        <v>2801</v>
      </c>
      <c r="B945" s="63" t="s">
        <v>2802</v>
      </c>
      <c r="C945" s="79" t="s">
        <v>8522</v>
      </c>
    </row>
    <row r="946" spans="1:8" ht="31.5" x14ac:dyDescent="0.25">
      <c r="A946" s="62" t="s">
        <v>2803</v>
      </c>
      <c r="B946" s="63" t="s">
        <v>2804</v>
      </c>
      <c r="C946" s="79" t="s">
        <v>8522</v>
      </c>
    </row>
    <row r="947" spans="1:8" ht="31.5" x14ac:dyDescent="0.25">
      <c r="A947" s="62" t="s">
        <v>2805</v>
      </c>
      <c r="B947" s="63" t="s">
        <v>2806</v>
      </c>
      <c r="C947" s="79" t="s">
        <v>8521</v>
      </c>
    </row>
    <row r="948" spans="1:8" ht="31.5" x14ac:dyDescent="0.25">
      <c r="A948" s="62" t="s">
        <v>2807</v>
      </c>
      <c r="B948" s="63" t="s">
        <v>2808</v>
      </c>
      <c r="C948" s="79" t="s">
        <v>8521</v>
      </c>
    </row>
    <row r="949" spans="1:8" ht="31.5" x14ac:dyDescent="0.25">
      <c r="A949" s="62" t="s">
        <v>2809</v>
      </c>
      <c r="B949" s="63" t="s">
        <v>2810</v>
      </c>
      <c r="C949" s="79" t="s">
        <v>8521</v>
      </c>
    </row>
    <row r="950" spans="1:8" ht="31.5" x14ac:dyDescent="0.25">
      <c r="A950" s="62" t="s">
        <v>2811</v>
      </c>
      <c r="B950" s="63" t="s">
        <v>2812</v>
      </c>
      <c r="C950" s="79" t="s">
        <v>8521</v>
      </c>
    </row>
    <row r="951" spans="1:8" ht="31.5" x14ac:dyDescent="0.25">
      <c r="A951" s="62" t="s">
        <v>2813</v>
      </c>
      <c r="B951" s="63" t="s">
        <v>2814</v>
      </c>
      <c r="C951" s="79" t="s">
        <v>8522</v>
      </c>
    </row>
    <row r="952" spans="1:8" ht="31.5" x14ac:dyDescent="0.25">
      <c r="A952" s="62" t="s">
        <v>2815</v>
      </c>
      <c r="B952" s="63" t="s">
        <v>2816</v>
      </c>
      <c r="C952" s="79" t="s">
        <v>8522</v>
      </c>
    </row>
    <row r="953" spans="1:8" ht="31.5" x14ac:dyDescent="0.25">
      <c r="A953" s="62" t="s">
        <v>2817</v>
      </c>
      <c r="B953" s="63" t="s">
        <v>2818</v>
      </c>
      <c r="C953" s="79" t="s">
        <v>8522</v>
      </c>
    </row>
    <row r="954" spans="1:8" ht="31.5" x14ac:dyDescent="0.25">
      <c r="A954" s="62" t="s">
        <v>2819</v>
      </c>
      <c r="B954" s="63" t="s">
        <v>2820</v>
      </c>
      <c r="C954" s="79" t="s">
        <v>8522</v>
      </c>
      <c r="H954" s="184"/>
    </row>
    <row r="955" spans="1:8" ht="18" x14ac:dyDescent="0.25">
      <c r="A955" s="182"/>
      <c r="B955" s="182" t="s">
        <v>8545</v>
      </c>
      <c r="C955" s="183"/>
    </row>
    <row r="956" spans="1:8" x14ac:dyDescent="0.25">
      <c r="A956" s="62" t="s">
        <v>2821</v>
      </c>
      <c r="B956" s="63" t="s">
        <v>2822</v>
      </c>
      <c r="C956" s="79" t="s">
        <v>8546</v>
      </c>
    </row>
    <row r="957" spans="1:8" x14ac:dyDescent="0.25">
      <c r="A957" s="62" t="s">
        <v>2823</v>
      </c>
      <c r="B957" s="63" t="s">
        <v>2824</v>
      </c>
      <c r="C957" s="79" t="s">
        <v>8546</v>
      </c>
    </row>
    <row r="958" spans="1:8" x14ac:dyDescent="0.25">
      <c r="A958" s="62" t="s">
        <v>2825</v>
      </c>
      <c r="B958" s="63" t="s">
        <v>2826</v>
      </c>
      <c r="C958" s="79" t="s">
        <v>8546</v>
      </c>
    </row>
    <row r="959" spans="1:8" x14ac:dyDescent="0.25">
      <c r="A959" s="62" t="s">
        <v>2827</v>
      </c>
      <c r="B959" s="63" t="s">
        <v>2828</v>
      </c>
      <c r="C959" s="79" t="s">
        <v>8546</v>
      </c>
    </row>
    <row r="960" spans="1:8" x14ac:dyDescent="0.25">
      <c r="A960" s="62" t="s">
        <v>2829</v>
      </c>
      <c r="B960" s="63" t="s">
        <v>2830</v>
      </c>
      <c r="C960" s="79" t="s">
        <v>8547</v>
      </c>
    </row>
    <row r="961" spans="1:3" x14ac:dyDescent="0.25">
      <c r="A961" s="62" t="s">
        <v>2831</v>
      </c>
      <c r="B961" s="63" t="s">
        <v>2832</v>
      </c>
      <c r="C961" s="79" t="s">
        <v>8547</v>
      </c>
    </row>
    <row r="962" spans="1:3" x14ac:dyDescent="0.25">
      <c r="A962" s="62" t="s">
        <v>2833</v>
      </c>
      <c r="B962" s="63" t="s">
        <v>2834</v>
      </c>
      <c r="C962" s="79" t="s">
        <v>8547</v>
      </c>
    </row>
    <row r="963" spans="1:3" x14ac:dyDescent="0.25">
      <c r="A963" s="62" t="s">
        <v>2835</v>
      </c>
      <c r="B963" s="63" t="s">
        <v>2836</v>
      </c>
      <c r="C963" s="79" t="s">
        <v>8547</v>
      </c>
    </row>
    <row r="964" spans="1:3" x14ac:dyDescent="0.25">
      <c r="A964" s="62" t="s">
        <v>2837</v>
      </c>
      <c r="B964" s="63" t="s">
        <v>2838</v>
      </c>
      <c r="C964" s="79" t="s">
        <v>8548</v>
      </c>
    </row>
    <row r="965" spans="1:3" x14ac:dyDescent="0.25">
      <c r="A965" s="62" t="s">
        <v>2839</v>
      </c>
      <c r="B965" s="63" t="s">
        <v>2840</v>
      </c>
      <c r="C965" s="79" t="s">
        <v>8548</v>
      </c>
    </row>
    <row r="966" spans="1:3" x14ac:dyDescent="0.25">
      <c r="A966" s="62" t="s">
        <v>2841</v>
      </c>
      <c r="B966" s="63" t="s">
        <v>2842</v>
      </c>
      <c r="C966" s="79" t="s">
        <v>8548</v>
      </c>
    </row>
    <row r="967" spans="1:3" x14ac:dyDescent="0.25">
      <c r="A967" s="62" t="s">
        <v>2843</v>
      </c>
      <c r="B967" s="63" t="s">
        <v>2844</v>
      </c>
      <c r="C967" s="79" t="s">
        <v>8548</v>
      </c>
    </row>
    <row r="968" spans="1:3" x14ac:dyDescent="0.25">
      <c r="A968" s="62" t="s">
        <v>2845</v>
      </c>
      <c r="B968" s="63" t="s">
        <v>2846</v>
      </c>
      <c r="C968" s="79" t="s">
        <v>8549</v>
      </c>
    </row>
    <row r="969" spans="1:3" x14ac:dyDescent="0.25">
      <c r="A969" s="62" t="s">
        <v>2847</v>
      </c>
      <c r="B969" s="63" t="s">
        <v>2848</v>
      </c>
      <c r="C969" s="79" t="s">
        <v>8549</v>
      </c>
    </row>
    <row r="970" spans="1:3" x14ac:dyDescent="0.25">
      <c r="A970" s="62" t="s">
        <v>2849</v>
      </c>
      <c r="B970" s="63" t="s">
        <v>2850</v>
      </c>
      <c r="C970" s="79" t="s">
        <v>8546</v>
      </c>
    </row>
    <row r="971" spans="1:3" x14ac:dyDescent="0.25">
      <c r="A971" s="62" t="s">
        <v>2851</v>
      </c>
      <c r="B971" s="63" t="s">
        <v>2852</v>
      </c>
      <c r="C971" s="79" t="s">
        <v>8546</v>
      </c>
    </row>
    <row r="972" spans="1:3" x14ac:dyDescent="0.25">
      <c r="A972" s="62" t="s">
        <v>2853</v>
      </c>
      <c r="B972" s="63" t="s">
        <v>2854</v>
      </c>
      <c r="C972" s="79" t="s">
        <v>8546</v>
      </c>
    </row>
    <row r="973" spans="1:3" x14ac:dyDescent="0.25">
      <c r="A973" s="62" t="s">
        <v>2855</v>
      </c>
      <c r="B973" s="63" t="s">
        <v>2856</v>
      </c>
      <c r="C973" s="79" t="s">
        <v>8546</v>
      </c>
    </row>
    <row r="974" spans="1:3" x14ac:dyDescent="0.25">
      <c r="A974" s="62" t="s">
        <v>2857</v>
      </c>
      <c r="B974" s="63" t="s">
        <v>2858</v>
      </c>
      <c r="C974" s="79" t="s">
        <v>8547</v>
      </c>
    </row>
    <row r="975" spans="1:3" x14ac:dyDescent="0.25">
      <c r="A975" s="62" t="s">
        <v>2859</v>
      </c>
      <c r="B975" s="63" t="s">
        <v>2860</v>
      </c>
      <c r="C975" s="79" t="s">
        <v>8547</v>
      </c>
    </row>
    <row r="976" spans="1:3" x14ac:dyDescent="0.25">
      <c r="A976" s="62" t="s">
        <v>2861</v>
      </c>
      <c r="B976" s="63" t="s">
        <v>2862</v>
      </c>
      <c r="C976" s="79" t="s">
        <v>8547</v>
      </c>
    </row>
    <row r="977" spans="1:3" x14ac:dyDescent="0.25">
      <c r="A977" s="62" t="s">
        <v>2863</v>
      </c>
      <c r="B977" s="63" t="s">
        <v>2864</v>
      </c>
      <c r="C977" s="79" t="s">
        <v>8547</v>
      </c>
    </row>
    <row r="978" spans="1:3" x14ac:dyDescent="0.25">
      <c r="A978" s="62" t="s">
        <v>2865</v>
      </c>
      <c r="B978" s="63" t="s">
        <v>2866</v>
      </c>
      <c r="C978" s="79" t="s">
        <v>8548</v>
      </c>
    </row>
    <row r="979" spans="1:3" x14ac:dyDescent="0.25">
      <c r="A979" s="62" t="s">
        <v>2867</v>
      </c>
      <c r="B979" s="63" t="s">
        <v>2868</v>
      </c>
      <c r="C979" s="79" t="s">
        <v>8548</v>
      </c>
    </row>
    <row r="980" spans="1:3" x14ac:dyDescent="0.25">
      <c r="A980" s="62" t="s">
        <v>2869</v>
      </c>
      <c r="B980" s="63" t="s">
        <v>2870</v>
      </c>
      <c r="C980" s="79" t="s">
        <v>8548</v>
      </c>
    </row>
    <row r="981" spans="1:3" x14ac:dyDescent="0.25">
      <c r="A981" s="62" t="s">
        <v>2871</v>
      </c>
      <c r="B981" s="63" t="s">
        <v>2872</v>
      </c>
      <c r="C981" s="79" t="s">
        <v>8548</v>
      </c>
    </row>
    <row r="982" spans="1:3" x14ac:dyDescent="0.25">
      <c r="A982" s="62" t="s">
        <v>2873</v>
      </c>
      <c r="B982" s="63" t="s">
        <v>2874</v>
      </c>
      <c r="C982" s="79" t="s">
        <v>8549</v>
      </c>
    </row>
    <row r="983" spans="1:3" x14ac:dyDescent="0.25">
      <c r="A983" s="62" t="s">
        <v>2875</v>
      </c>
      <c r="B983" s="63" t="s">
        <v>2876</v>
      </c>
      <c r="C983" s="79" t="s">
        <v>8549</v>
      </c>
    </row>
    <row r="984" spans="1:3" x14ac:dyDescent="0.25">
      <c r="A984" s="62" t="s">
        <v>2877</v>
      </c>
      <c r="B984" s="63" t="s">
        <v>2878</v>
      </c>
      <c r="C984" s="79" t="s">
        <v>8546</v>
      </c>
    </row>
    <row r="985" spans="1:3" x14ac:dyDescent="0.25">
      <c r="A985" s="62" t="s">
        <v>2879</v>
      </c>
      <c r="B985" s="63" t="s">
        <v>2880</v>
      </c>
      <c r="C985" s="79" t="s">
        <v>8546</v>
      </c>
    </row>
    <row r="986" spans="1:3" x14ac:dyDescent="0.25">
      <c r="A986" s="62" t="s">
        <v>2881</v>
      </c>
      <c r="B986" s="63" t="s">
        <v>2882</v>
      </c>
      <c r="C986" s="79" t="s">
        <v>8546</v>
      </c>
    </row>
    <row r="987" spans="1:3" x14ac:dyDescent="0.25">
      <c r="A987" s="62" t="s">
        <v>2883</v>
      </c>
      <c r="B987" s="63" t="s">
        <v>2884</v>
      </c>
      <c r="C987" s="79" t="s">
        <v>8546</v>
      </c>
    </row>
    <row r="988" spans="1:3" x14ac:dyDescent="0.25">
      <c r="A988" s="62" t="s">
        <v>2885</v>
      </c>
      <c r="B988" s="63" t="s">
        <v>2886</v>
      </c>
      <c r="C988" s="79" t="s">
        <v>8547</v>
      </c>
    </row>
    <row r="989" spans="1:3" x14ac:dyDescent="0.25">
      <c r="A989" s="62" t="s">
        <v>2887</v>
      </c>
      <c r="B989" s="63" t="s">
        <v>2888</v>
      </c>
      <c r="C989" s="79" t="s">
        <v>8547</v>
      </c>
    </row>
    <row r="990" spans="1:3" x14ac:dyDescent="0.25">
      <c r="A990" s="62" t="s">
        <v>2889</v>
      </c>
      <c r="B990" s="63" t="s">
        <v>2890</v>
      </c>
      <c r="C990" s="79" t="s">
        <v>8547</v>
      </c>
    </row>
    <row r="991" spans="1:3" x14ac:dyDescent="0.25">
      <c r="A991" s="62" t="s">
        <v>2891</v>
      </c>
      <c r="B991" s="63" t="s">
        <v>2892</v>
      </c>
      <c r="C991" s="79" t="s">
        <v>8547</v>
      </c>
    </row>
    <row r="992" spans="1:3" x14ac:dyDescent="0.25">
      <c r="A992" s="62" t="s">
        <v>2893</v>
      </c>
      <c r="B992" s="63" t="s">
        <v>2894</v>
      </c>
      <c r="C992" s="79" t="s">
        <v>8548</v>
      </c>
    </row>
    <row r="993" spans="1:3" x14ac:dyDescent="0.25">
      <c r="A993" s="62" t="s">
        <v>2895</v>
      </c>
      <c r="B993" s="63" t="s">
        <v>2896</v>
      </c>
      <c r="C993" s="79" t="s">
        <v>8548</v>
      </c>
    </row>
    <row r="994" spans="1:3" x14ac:dyDescent="0.25">
      <c r="A994" s="62" t="s">
        <v>2897</v>
      </c>
      <c r="B994" s="63" t="s">
        <v>2898</v>
      </c>
      <c r="C994" s="79" t="s">
        <v>8548</v>
      </c>
    </row>
    <row r="995" spans="1:3" x14ac:dyDescent="0.25">
      <c r="A995" s="62" t="s">
        <v>2899</v>
      </c>
      <c r="B995" s="63" t="s">
        <v>2900</v>
      </c>
      <c r="C995" s="79" t="s">
        <v>8548</v>
      </c>
    </row>
    <row r="996" spans="1:3" x14ac:dyDescent="0.25">
      <c r="A996" s="62" t="s">
        <v>2901</v>
      </c>
      <c r="B996" s="63" t="s">
        <v>2902</v>
      </c>
      <c r="C996" s="79" t="s">
        <v>8549</v>
      </c>
    </row>
    <row r="997" spans="1:3" x14ac:dyDescent="0.25">
      <c r="A997" s="62" t="s">
        <v>2903</v>
      </c>
      <c r="B997" s="63" t="s">
        <v>2904</v>
      </c>
      <c r="C997" s="79" t="s">
        <v>8549</v>
      </c>
    </row>
    <row r="998" spans="1:3" ht="31.5" x14ac:dyDescent="0.25">
      <c r="A998" s="62" t="s">
        <v>2905</v>
      </c>
      <c r="B998" s="63" t="s">
        <v>2906</v>
      </c>
      <c r="C998" s="79" t="s">
        <v>8527</v>
      </c>
    </row>
    <row r="999" spans="1:3" ht="31.5" x14ac:dyDescent="0.25">
      <c r="A999" s="62" t="s">
        <v>2907</v>
      </c>
      <c r="B999" s="63" t="s">
        <v>2908</v>
      </c>
      <c r="C999" s="79" t="s">
        <v>8527</v>
      </c>
    </row>
    <row r="1000" spans="1:3" ht="31.5" x14ac:dyDescent="0.25">
      <c r="A1000" s="62" t="s">
        <v>2909</v>
      </c>
      <c r="B1000" s="63" t="s">
        <v>2910</v>
      </c>
      <c r="C1000" s="79" t="s">
        <v>8527</v>
      </c>
    </row>
    <row r="1001" spans="1:3" ht="31.5" x14ac:dyDescent="0.25">
      <c r="A1001" s="62" t="s">
        <v>2911</v>
      </c>
      <c r="B1001" s="63" t="s">
        <v>2912</v>
      </c>
      <c r="C1001" s="79" t="s">
        <v>8527</v>
      </c>
    </row>
    <row r="1002" spans="1:3" ht="31.5" x14ac:dyDescent="0.25">
      <c r="A1002" s="62" t="s">
        <v>2913</v>
      </c>
      <c r="B1002" s="63" t="s">
        <v>2914</v>
      </c>
      <c r="C1002" s="79" t="s">
        <v>8348</v>
      </c>
    </row>
    <row r="1003" spans="1:3" ht="31.5" x14ac:dyDescent="0.25">
      <c r="A1003" s="62" t="s">
        <v>2915</v>
      </c>
      <c r="B1003" s="63" t="s">
        <v>2916</v>
      </c>
      <c r="C1003" s="79" t="s">
        <v>8348</v>
      </c>
    </row>
    <row r="1004" spans="1:3" ht="31.5" x14ac:dyDescent="0.25">
      <c r="A1004" s="62" t="s">
        <v>2917</v>
      </c>
      <c r="B1004" s="63" t="s">
        <v>2918</v>
      </c>
      <c r="C1004" s="79" t="s">
        <v>8348</v>
      </c>
    </row>
    <row r="1005" spans="1:3" ht="31.5" x14ac:dyDescent="0.25">
      <c r="A1005" s="62" t="s">
        <v>2919</v>
      </c>
      <c r="B1005" s="63" t="s">
        <v>2920</v>
      </c>
      <c r="C1005" s="79" t="s">
        <v>8348</v>
      </c>
    </row>
    <row r="1006" spans="1:3" ht="31.5" x14ac:dyDescent="0.25">
      <c r="A1006" s="62" t="s">
        <v>2921</v>
      </c>
      <c r="B1006" s="63" t="s">
        <v>2922</v>
      </c>
      <c r="C1006" s="79" t="s">
        <v>8527</v>
      </c>
    </row>
    <row r="1007" spans="1:3" ht="31.5" x14ac:dyDescent="0.25">
      <c r="A1007" s="62" t="s">
        <v>2923</v>
      </c>
      <c r="B1007" s="63" t="s">
        <v>2924</v>
      </c>
      <c r="C1007" s="79" t="s">
        <v>8527</v>
      </c>
    </row>
    <row r="1008" spans="1:3" ht="31.5" x14ac:dyDescent="0.25">
      <c r="A1008" s="62" t="s">
        <v>2925</v>
      </c>
      <c r="B1008" s="63" t="s">
        <v>2926</v>
      </c>
      <c r="C1008" s="79" t="s">
        <v>8527</v>
      </c>
    </row>
    <row r="1009" spans="1:3" ht="31.5" x14ac:dyDescent="0.25">
      <c r="A1009" s="62" t="s">
        <v>2927</v>
      </c>
      <c r="B1009" s="63" t="s">
        <v>2928</v>
      </c>
      <c r="C1009" s="79" t="s">
        <v>8527</v>
      </c>
    </row>
    <row r="1010" spans="1:3" ht="31.5" x14ac:dyDescent="0.25">
      <c r="A1010" s="62" t="s">
        <v>2929</v>
      </c>
      <c r="B1010" s="63" t="s">
        <v>2930</v>
      </c>
      <c r="C1010" s="79" t="s">
        <v>8348</v>
      </c>
    </row>
    <row r="1011" spans="1:3" ht="31.5" x14ac:dyDescent="0.25">
      <c r="A1011" s="62" t="s">
        <v>2931</v>
      </c>
      <c r="B1011" s="63" t="s">
        <v>2932</v>
      </c>
      <c r="C1011" s="79" t="s">
        <v>8348</v>
      </c>
    </row>
    <row r="1012" spans="1:3" ht="31.5" x14ac:dyDescent="0.25">
      <c r="A1012" s="62" t="s">
        <v>2933</v>
      </c>
      <c r="B1012" s="63" t="s">
        <v>2934</v>
      </c>
      <c r="C1012" s="79" t="s">
        <v>8348</v>
      </c>
    </row>
    <row r="1013" spans="1:3" ht="31.5" x14ac:dyDescent="0.25">
      <c r="A1013" s="62" t="s">
        <v>2935</v>
      </c>
      <c r="B1013" s="63" t="s">
        <v>2936</v>
      </c>
      <c r="C1013" s="79" t="s">
        <v>8348</v>
      </c>
    </row>
    <row r="1014" spans="1:3" ht="31.5" x14ac:dyDescent="0.25">
      <c r="A1014" s="62" t="s">
        <v>2937</v>
      </c>
      <c r="B1014" s="63" t="s">
        <v>2938</v>
      </c>
      <c r="C1014" s="79" t="s">
        <v>8527</v>
      </c>
    </row>
    <row r="1015" spans="1:3" ht="31.5" x14ac:dyDescent="0.25">
      <c r="A1015" s="62" t="s">
        <v>2939</v>
      </c>
      <c r="B1015" s="63" t="s">
        <v>2940</v>
      </c>
      <c r="C1015" s="79" t="s">
        <v>8527</v>
      </c>
    </row>
    <row r="1016" spans="1:3" ht="31.5" x14ac:dyDescent="0.25">
      <c r="A1016" s="62" t="s">
        <v>2941</v>
      </c>
      <c r="B1016" s="63" t="s">
        <v>2942</v>
      </c>
      <c r="C1016" s="79" t="s">
        <v>8527</v>
      </c>
    </row>
    <row r="1017" spans="1:3" ht="31.5" x14ac:dyDescent="0.25">
      <c r="A1017" s="62" t="s">
        <v>2943</v>
      </c>
      <c r="B1017" s="63" t="s">
        <v>2944</v>
      </c>
      <c r="C1017" s="79" t="s">
        <v>8527</v>
      </c>
    </row>
    <row r="1018" spans="1:3" ht="31.5" x14ac:dyDescent="0.25">
      <c r="A1018" s="62" t="s">
        <v>2945</v>
      </c>
      <c r="B1018" s="63" t="s">
        <v>2946</v>
      </c>
      <c r="C1018" s="79" t="s">
        <v>8348</v>
      </c>
    </row>
    <row r="1019" spans="1:3" ht="31.5" x14ac:dyDescent="0.25">
      <c r="A1019" s="62" t="s">
        <v>2947</v>
      </c>
      <c r="B1019" s="63" t="s">
        <v>2948</v>
      </c>
      <c r="C1019" s="79" t="s">
        <v>8348</v>
      </c>
    </row>
    <row r="1020" spans="1:3" ht="31.5" x14ac:dyDescent="0.25">
      <c r="A1020" s="62" t="s">
        <v>2949</v>
      </c>
      <c r="B1020" s="63" t="s">
        <v>2950</v>
      </c>
      <c r="C1020" s="79" t="s">
        <v>8348</v>
      </c>
    </row>
    <row r="1021" spans="1:3" ht="31.5" x14ac:dyDescent="0.25">
      <c r="A1021" s="62" t="s">
        <v>2951</v>
      </c>
      <c r="B1021" s="63" t="s">
        <v>2952</v>
      </c>
      <c r="C1021" s="79" t="s">
        <v>8348</v>
      </c>
    </row>
    <row r="1022" spans="1:3" ht="18" x14ac:dyDescent="0.25">
      <c r="A1022" s="182"/>
      <c r="B1022" s="182" t="s">
        <v>8550</v>
      </c>
      <c r="C1022" s="183"/>
    </row>
    <row r="1023" spans="1:3" ht="31.5" x14ac:dyDescent="0.25">
      <c r="A1023" s="62" t="s">
        <v>2953</v>
      </c>
      <c r="B1023" s="63" t="s">
        <v>2954</v>
      </c>
      <c r="C1023" s="79" t="s">
        <v>8527</v>
      </c>
    </row>
    <row r="1024" spans="1:3" ht="31.5" x14ac:dyDescent="0.25">
      <c r="A1024" s="62" t="s">
        <v>2955</v>
      </c>
      <c r="B1024" s="63" t="s">
        <v>2956</v>
      </c>
      <c r="C1024" s="79" t="s">
        <v>8527</v>
      </c>
    </row>
    <row r="1025" spans="1:3" x14ac:dyDescent="0.25">
      <c r="A1025" s="62" t="s">
        <v>2957</v>
      </c>
      <c r="B1025" s="63" t="s">
        <v>2958</v>
      </c>
      <c r="C1025" s="79" t="s">
        <v>8527</v>
      </c>
    </row>
    <row r="1026" spans="1:3" ht="31.5" x14ac:dyDescent="0.25">
      <c r="A1026" s="62" t="s">
        <v>2959</v>
      </c>
      <c r="B1026" s="63" t="s">
        <v>2960</v>
      </c>
      <c r="C1026" s="79" t="s">
        <v>8527</v>
      </c>
    </row>
    <row r="1027" spans="1:3" ht="31.5" x14ac:dyDescent="0.25">
      <c r="A1027" s="62" t="s">
        <v>2961</v>
      </c>
      <c r="B1027" s="63" t="s">
        <v>2962</v>
      </c>
      <c r="C1027" s="79" t="s">
        <v>8348</v>
      </c>
    </row>
    <row r="1028" spans="1:3" ht="31.5" x14ac:dyDescent="0.25">
      <c r="A1028" s="62" t="s">
        <v>2963</v>
      </c>
      <c r="B1028" s="63" t="s">
        <v>2964</v>
      </c>
      <c r="C1028" s="79" t="s">
        <v>8348</v>
      </c>
    </row>
    <row r="1029" spans="1:3" ht="31.5" x14ac:dyDescent="0.25">
      <c r="A1029" s="62" t="s">
        <v>2965</v>
      </c>
      <c r="B1029" s="63" t="s">
        <v>2966</v>
      </c>
      <c r="C1029" s="79" t="s">
        <v>8348</v>
      </c>
    </row>
    <row r="1030" spans="1:3" ht="31.5" x14ac:dyDescent="0.25">
      <c r="A1030" s="62" t="s">
        <v>2967</v>
      </c>
      <c r="B1030" s="63" t="s">
        <v>2968</v>
      </c>
      <c r="C1030" s="79" t="s">
        <v>8348</v>
      </c>
    </row>
    <row r="1031" spans="1:3" ht="31.5" x14ac:dyDescent="0.25">
      <c r="A1031" s="62" t="s">
        <v>2969</v>
      </c>
      <c r="B1031" s="63" t="s">
        <v>2970</v>
      </c>
      <c r="C1031" s="79" t="s">
        <v>8529</v>
      </c>
    </row>
    <row r="1032" spans="1:3" ht="31.5" x14ac:dyDescent="0.25">
      <c r="A1032" s="62" t="s">
        <v>2971</v>
      </c>
      <c r="B1032" s="63" t="s">
        <v>2972</v>
      </c>
      <c r="C1032" s="79" t="s">
        <v>8529</v>
      </c>
    </row>
    <row r="1033" spans="1:3" ht="18" x14ac:dyDescent="0.25">
      <c r="A1033" s="182"/>
      <c r="B1033" s="182" t="s">
        <v>8551</v>
      </c>
      <c r="C1033" s="183"/>
    </row>
    <row r="1034" spans="1:3" x14ac:dyDescent="0.25">
      <c r="A1034" s="62" t="s">
        <v>2973</v>
      </c>
      <c r="B1034" s="63" t="s">
        <v>2974</v>
      </c>
      <c r="C1034" s="79" t="s">
        <v>8552</v>
      </c>
    </row>
    <row r="1035" spans="1:3" ht="18" x14ac:dyDescent="0.25">
      <c r="A1035" s="182"/>
      <c r="B1035" s="182" t="s">
        <v>8553</v>
      </c>
      <c r="C1035" s="183"/>
    </row>
    <row r="1036" spans="1:3" x14ac:dyDescent="0.25">
      <c r="A1036" s="62" t="s">
        <v>2975</v>
      </c>
      <c r="B1036" s="63" t="s">
        <v>2976</v>
      </c>
      <c r="C1036" s="79" t="s">
        <v>8554</v>
      </c>
    </row>
    <row r="1037" spans="1:3" x14ac:dyDescent="0.25">
      <c r="A1037" s="62" t="s">
        <v>2977</v>
      </c>
      <c r="B1037" s="63" t="s">
        <v>2978</v>
      </c>
      <c r="C1037" s="79" t="s">
        <v>8555</v>
      </c>
    </row>
    <row r="1038" spans="1:3" ht="18" x14ac:dyDescent="0.25">
      <c r="A1038" s="182"/>
      <c r="B1038" s="182" t="s">
        <v>8556</v>
      </c>
      <c r="C1038" s="183"/>
    </row>
    <row r="1039" spans="1:3" x14ac:dyDescent="0.25">
      <c r="A1039" s="62" t="s">
        <v>2979</v>
      </c>
      <c r="B1039" s="63" t="s">
        <v>2980</v>
      </c>
      <c r="C1039" s="79" t="s">
        <v>8557</v>
      </c>
    </row>
    <row r="1040" spans="1:3" ht="18" x14ac:dyDescent="0.25">
      <c r="A1040" s="182"/>
      <c r="B1040" s="182" t="s">
        <v>8558</v>
      </c>
      <c r="C1040" s="183"/>
    </row>
    <row r="1041" spans="1:3" x14ac:dyDescent="0.25">
      <c r="A1041" s="62" t="s">
        <v>2981</v>
      </c>
      <c r="B1041" s="63" t="s">
        <v>2982</v>
      </c>
      <c r="C1041" s="79" t="s">
        <v>8559</v>
      </c>
    </row>
    <row r="1042" spans="1:3" x14ac:dyDescent="0.25">
      <c r="A1042" s="62" t="s">
        <v>2983</v>
      </c>
      <c r="B1042" s="63" t="s">
        <v>2984</v>
      </c>
      <c r="C1042" s="79" t="s">
        <v>8559</v>
      </c>
    </row>
    <row r="1043" spans="1:3" x14ac:dyDescent="0.25">
      <c r="A1043" s="62" t="s">
        <v>2985</v>
      </c>
      <c r="B1043" s="63" t="s">
        <v>2986</v>
      </c>
      <c r="C1043" s="79" t="s">
        <v>8559</v>
      </c>
    </row>
    <row r="1044" spans="1:3" x14ac:dyDescent="0.25">
      <c r="A1044" s="62" t="s">
        <v>2987</v>
      </c>
      <c r="B1044" s="63" t="s">
        <v>2988</v>
      </c>
      <c r="C1044" s="79" t="s">
        <v>8559</v>
      </c>
    </row>
    <row r="1045" spans="1:3" x14ac:dyDescent="0.25">
      <c r="A1045" s="62" t="s">
        <v>2989</v>
      </c>
      <c r="B1045" s="63" t="s">
        <v>2990</v>
      </c>
      <c r="C1045" s="79" t="s">
        <v>8559</v>
      </c>
    </row>
    <row r="1046" spans="1:3" x14ac:dyDescent="0.25">
      <c r="A1046" s="62" t="s">
        <v>2991</v>
      </c>
      <c r="B1046" s="63" t="s">
        <v>2992</v>
      </c>
      <c r="C1046" s="79" t="s">
        <v>8559</v>
      </c>
    </row>
    <row r="1047" spans="1:3" x14ac:dyDescent="0.25">
      <c r="A1047" s="62" t="s">
        <v>2993</v>
      </c>
      <c r="B1047" s="63" t="s">
        <v>2994</v>
      </c>
      <c r="C1047" s="79" t="s">
        <v>8559</v>
      </c>
    </row>
    <row r="1048" spans="1:3" x14ac:dyDescent="0.25">
      <c r="A1048" s="62" t="s">
        <v>2995</v>
      </c>
      <c r="B1048" s="63" t="s">
        <v>2996</v>
      </c>
      <c r="C1048" s="79" t="s">
        <v>8559</v>
      </c>
    </row>
    <row r="1049" spans="1:3" x14ac:dyDescent="0.25">
      <c r="A1049" s="62" t="s">
        <v>2997</v>
      </c>
      <c r="B1049" s="63" t="s">
        <v>2998</v>
      </c>
      <c r="C1049" s="79" t="s">
        <v>8559</v>
      </c>
    </row>
    <row r="1050" spans="1:3" x14ac:dyDescent="0.25">
      <c r="A1050" s="62" t="s">
        <v>2999</v>
      </c>
      <c r="B1050" s="63" t="s">
        <v>3000</v>
      </c>
      <c r="C1050" s="79" t="s">
        <v>8559</v>
      </c>
    </row>
    <row r="1051" spans="1:3" x14ac:dyDescent="0.25">
      <c r="A1051" s="62" t="s">
        <v>3001</v>
      </c>
      <c r="B1051" s="63" t="s">
        <v>3002</v>
      </c>
      <c r="C1051" s="79" t="s">
        <v>8560</v>
      </c>
    </row>
    <row r="1052" spans="1:3" x14ac:dyDescent="0.25">
      <c r="A1052" s="62" t="s">
        <v>3003</v>
      </c>
      <c r="B1052" s="63" t="s">
        <v>3004</v>
      </c>
      <c r="C1052" s="79" t="s">
        <v>8560</v>
      </c>
    </row>
    <row r="1053" spans="1:3" x14ac:dyDescent="0.25">
      <c r="A1053" s="62" t="s">
        <v>3005</v>
      </c>
      <c r="B1053" s="63" t="s">
        <v>3006</v>
      </c>
      <c r="C1053" s="79" t="s">
        <v>8560</v>
      </c>
    </row>
    <row r="1054" spans="1:3" x14ac:dyDescent="0.25">
      <c r="A1054" s="62" t="s">
        <v>3007</v>
      </c>
      <c r="B1054" s="63" t="s">
        <v>3008</v>
      </c>
      <c r="C1054" s="79" t="s">
        <v>8560</v>
      </c>
    </row>
    <row r="1055" spans="1:3" x14ac:dyDescent="0.25">
      <c r="A1055" s="62" t="s">
        <v>3009</v>
      </c>
      <c r="B1055" s="63" t="s">
        <v>3010</v>
      </c>
      <c r="C1055" s="79" t="s">
        <v>8560</v>
      </c>
    </row>
    <row r="1056" spans="1:3" x14ac:dyDescent="0.25">
      <c r="A1056" s="62" t="s">
        <v>3011</v>
      </c>
      <c r="B1056" s="63" t="s">
        <v>3012</v>
      </c>
      <c r="C1056" s="79" t="s">
        <v>8560</v>
      </c>
    </row>
    <row r="1057" spans="1:3" x14ac:dyDescent="0.25">
      <c r="A1057" s="62" t="s">
        <v>3013</v>
      </c>
      <c r="B1057" s="63" t="s">
        <v>3014</v>
      </c>
      <c r="C1057" s="79" t="s">
        <v>8560</v>
      </c>
    </row>
    <row r="1058" spans="1:3" x14ac:dyDescent="0.25">
      <c r="A1058" s="62" t="s">
        <v>3015</v>
      </c>
      <c r="B1058" s="63" t="s">
        <v>3016</v>
      </c>
      <c r="C1058" s="79" t="s">
        <v>8560</v>
      </c>
    </row>
    <row r="1059" spans="1:3" x14ac:dyDescent="0.25">
      <c r="A1059" s="62" t="s">
        <v>3017</v>
      </c>
      <c r="B1059" s="63" t="s">
        <v>3018</v>
      </c>
      <c r="C1059" s="79" t="s">
        <v>8560</v>
      </c>
    </row>
    <row r="1060" spans="1:3" x14ac:dyDescent="0.25">
      <c r="A1060" s="62" t="s">
        <v>3019</v>
      </c>
      <c r="B1060" s="63" t="s">
        <v>3020</v>
      </c>
      <c r="C1060" s="79" t="s">
        <v>8561</v>
      </c>
    </row>
    <row r="1061" spans="1:3" x14ac:dyDescent="0.25">
      <c r="A1061" s="62" t="s">
        <v>3021</v>
      </c>
      <c r="B1061" s="63" t="s">
        <v>3022</v>
      </c>
      <c r="C1061" s="79" t="s">
        <v>8561</v>
      </c>
    </row>
    <row r="1062" spans="1:3" x14ac:dyDescent="0.25">
      <c r="A1062" s="62" t="s">
        <v>3023</v>
      </c>
      <c r="B1062" s="63" t="s">
        <v>3024</v>
      </c>
      <c r="C1062" s="79" t="s">
        <v>8561</v>
      </c>
    </row>
    <row r="1063" spans="1:3" x14ac:dyDescent="0.25">
      <c r="A1063" s="62" t="s">
        <v>3025</v>
      </c>
      <c r="B1063" s="63" t="s">
        <v>3026</v>
      </c>
      <c r="C1063" s="79" t="s">
        <v>8561</v>
      </c>
    </row>
    <row r="1064" spans="1:3" x14ac:dyDescent="0.25">
      <c r="A1064" s="62" t="s">
        <v>3027</v>
      </c>
      <c r="B1064" s="63" t="s">
        <v>3028</v>
      </c>
      <c r="C1064" s="79" t="s">
        <v>8561</v>
      </c>
    </row>
    <row r="1065" spans="1:3" x14ac:dyDescent="0.25">
      <c r="A1065" s="62" t="s">
        <v>3029</v>
      </c>
      <c r="B1065" s="63" t="s">
        <v>3030</v>
      </c>
      <c r="C1065" s="79" t="s">
        <v>8561</v>
      </c>
    </row>
    <row r="1066" spans="1:3" x14ac:dyDescent="0.25">
      <c r="A1066" s="62" t="s">
        <v>3031</v>
      </c>
      <c r="B1066" s="63" t="s">
        <v>3032</v>
      </c>
      <c r="C1066" s="79" t="s">
        <v>8561</v>
      </c>
    </row>
    <row r="1067" spans="1:3" x14ac:dyDescent="0.25">
      <c r="A1067" s="62" t="s">
        <v>3033</v>
      </c>
      <c r="B1067" s="63" t="s">
        <v>3034</v>
      </c>
      <c r="C1067" s="79" t="s">
        <v>8561</v>
      </c>
    </row>
    <row r="1068" spans="1:3" x14ac:dyDescent="0.25">
      <c r="A1068" s="62" t="s">
        <v>3035</v>
      </c>
      <c r="B1068" s="63" t="s">
        <v>3036</v>
      </c>
      <c r="C1068" s="79" t="s">
        <v>8561</v>
      </c>
    </row>
    <row r="1069" spans="1:3" x14ac:dyDescent="0.25">
      <c r="A1069" s="62" t="s">
        <v>3037</v>
      </c>
      <c r="B1069" s="63" t="s">
        <v>3038</v>
      </c>
      <c r="C1069" s="79" t="s">
        <v>8561</v>
      </c>
    </row>
    <row r="1070" spans="1:3" x14ac:dyDescent="0.25">
      <c r="A1070" s="62" t="s">
        <v>3039</v>
      </c>
      <c r="B1070" s="63" t="s">
        <v>3040</v>
      </c>
      <c r="C1070" s="79" t="s">
        <v>8562</v>
      </c>
    </row>
    <row r="1071" spans="1:3" x14ac:dyDescent="0.25">
      <c r="A1071" s="62" t="s">
        <v>3041</v>
      </c>
      <c r="B1071" s="63" t="s">
        <v>3042</v>
      </c>
      <c r="C1071" s="79" t="s">
        <v>8562</v>
      </c>
    </row>
    <row r="1072" spans="1:3" ht="18" x14ac:dyDescent="0.25">
      <c r="A1072" s="182"/>
      <c r="B1072" s="182" t="s">
        <v>8563</v>
      </c>
      <c r="C1072" s="183"/>
    </row>
    <row r="1073" spans="1:3" ht="31.5" x14ac:dyDescent="0.25">
      <c r="A1073" s="62" t="s">
        <v>3043</v>
      </c>
      <c r="B1073" s="63" t="s">
        <v>3044</v>
      </c>
      <c r="C1073" s="79" t="s">
        <v>8564</v>
      </c>
    </row>
    <row r="1074" spans="1:3" ht="31.5" x14ac:dyDescent="0.25">
      <c r="A1074" s="62" t="s">
        <v>3045</v>
      </c>
      <c r="B1074" s="63" t="s">
        <v>3046</v>
      </c>
      <c r="C1074" s="79" t="s">
        <v>8564</v>
      </c>
    </row>
    <row r="1075" spans="1:3" ht="31.5" x14ac:dyDescent="0.25">
      <c r="A1075" s="62" t="s">
        <v>3047</v>
      </c>
      <c r="B1075" s="63" t="s">
        <v>3048</v>
      </c>
      <c r="C1075" s="79" t="s">
        <v>8564</v>
      </c>
    </row>
    <row r="1076" spans="1:3" ht="31.5" x14ac:dyDescent="0.25">
      <c r="A1076" s="62" t="s">
        <v>3049</v>
      </c>
      <c r="B1076" s="63" t="s">
        <v>3050</v>
      </c>
      <c r="C1076" s="79" t="s">
        <v>8564</v>
      </c>
    </row>
    <row r="1077" spans="1:3" ht="31.5" x14ac:dyDescent="0.25">
      <c r="A1077" s="62" t="s">
        <v>3051</v>
      </c>
      <c r="B1077" s="63" t="s">
        <v>3052</v>
      </c>
      <c r="C1077" s="79" t="s">
        <v>8564</v>
      </c>
    </row>
    <row r="1078" spans="1:3" ht="31.5" x14ac:dyDescent="0.25">
      <c r="A1078" s="62" t="s">
        <v>3053</v>
      </c>
      <c r="B1078" s="63" t="s">
        <v>3054</v>
      </c>
      <c r="C1078" s="79" t="s">
        <v>8564</v>
      </c>
    </row>
    <row r="1079" spans="1:3" ht="31.5" x14ac:dyDescent="0.25">
      <c r="A1079" s="62" t="s">
        <v>3055</v>
      </c>
      <c r="B1079" s="63" t="s">
        <v>3056</v>
      </c>
      <c r="C1079" s="79" t="s">
        <v>8564</v>
      </c>
    </row>
    <row r="1080" spans="1:3" ht="31.5" x14ac:dyDescent="0.25">
      <c r="A1080" s="62" t="s">
        <v>3057</v>
      </c>
      <c r="B1080" s="63" t="s">
        <v>3058</v>
      </c>
      <c r="C1080" s="79" t="s">
        <v>8564</v>
      </c>
    </row>
    <row r="1081" spans="1:3" ht="31.5" x14ac:dyDescent="0.25">
      <c r="A1081" s="62" t="s">
        <v>3059</v>
      </c>
      <c r="B1081" s="63" t="s">
        <v>3060</v>
      </c>
      <c r="C1081" s="79" t="s">
        <v>8564</v>
      </c>
    </row>
    <row r="1082" spans="1:3" ht="31.5" x14ac:dyDescent="0.25">
      <c r="A1082" s="62" t="s">
        <v>3061</v>
      </c>
      <c r="B1082" s="63" t="s">
        <v>3062</v>
      </c>
      <c r="C1082" s="79" t="s">
        <v>8564</v>
      </c>
    </row>
    <row r="1083" spans="1:3" ht="31.5" x14ac:dyDescent="0.25">
      <c r="A1083" s="62" t="s">
        <v>3063</v>
      </c>
      <c r="B1083" s="63" t="s">
        <v>3064</v>
      </c>
      <c r="C1083" s="79" t="s">
        <v>8565</v>
      </c>
    </row>
    <row r="1084" spans="1:3" ht="31.5" x14ac:dyDescent="0.25">
      <c r="A1084" s="62" t="s">
        <v>3065</v>
      </c>
      <c r="B1084" s="63" t="s">
        <v>3066</v>
      </c>
      <c r="C1084" s="79" t="s">
        <v>8565</v>
      </c>
    </row>
    <row r="1085" spans="1:3" ht="31.5" x14ac:dyDescent="0.25">
      <c r="A1085" s="62" t="s">
        <v>3067</v>
      </c>
      <c r="B1085" s="63" t="s">
        <v>3068</v>
      </c>
      <c r="C1085" s="79" t="s">
        <v>8565</v>
      </c>
    </row>
    <row r="1086" spans="1:3" ht="31.5" x14ac:dyDescent="0.25">
      <c r="A1086" s="62" t="s">
        <v>3069</v>
      </c>
      <c r="B1086" s="63" t="s">
        <v>3070</v>
      </c>
      <c r="C1086" s="79" t="s">
        <v>8565</v>
      </c>
    </row>
    <row r="1087" spans="1:3" ht="31.5" x14ac:dyDescent="0.25">
      <c r="A1087" s="62" t="s">
        <v>3071</v>
      </c>
      <c r="B1087" s="63" t="s">
        <v>3072</v>
      </c>
      <c r="C1087" s="79" t="s">
        <v>8565</v>
      </c>
    </row>
    <row r="1088" spans="1:3" ht="31.5" x14ac:dyDescent="0.25">
      <c r="A1088" s="62" t="s">
        <v>3073</v>
      </c>
      <c r="B1088" s="63" t="s">
        <v>3074</v>
      </c>
      <c r="C1088" s="79" t="s">
        <v>8565</v>
      </c>
    </row>
    <row r="1089" spans="1:3" ht="31.5" x14ac:dyDescent="0.25">
      <c r="A1089" s="62" t="s">
        <v>3075</v>
      </c>
      <c r="B1089" s="63" t="s">
        <v>3076</v>
      </c>
      <c r="C1089" s="79" t="s">
        <v>8565</v>
      </c>
    </row>
    <row r="1090" spans="1:3" ht="31.5" x14ac:dyDescent="0.25">
      <c r="A1090" s="62" t="s">
        <v>3077</v>
      </c>
      <c r="B1090" s="63" t="s">
        <v>3078</v>
      </c>
      <c r="C1090" s="79" t="s">
        <v>8565</v>
      </c>
    </row>
    <row r="1091" spans="1:3" ht="31.5" x14ac:dyDescent="0.25">
      <c r="A1091" s="62" t="s">
        <v>3079</v>
      </c>
      <c r="B1091" s="63" t="s">
        <v>3080</v>
      </c>
      <c r="C1091" s="79" t="s">
        <v>8565</v>
      </c>
    </row>
    <row r="1092" spans="1:3" ht="31.5" x14ac:dyDescent="0.25">
      <c r="A1092" s="62" t="s">
        <v>3081</v>
      </c>
      <c r="B1092" s="63" t="s">
        <v>3082</v>
      </c>
      <c r="C1092" s="79" t="s">
        <v>8507</v>
      </c>
    </row>
    <row r="1093" spans="1:3" ht="31.5" x14ac:dyDescent="0.25">
      <c r="A1093" s="62" t="s">
        <v>3083</v>
      </c>
      <c r="B1093" s="63" t="s">
        <v>3084</v>
      </c>
      <c r="C1093" s="79" t="s">
        <v>8566</v>
      </c>
    </row>
    <row r="1094" spans="1:3" ht="31.5" x14ac:dyDescent="0.25">
      <c r="A1094" s="62" t="s">
        <v>3085</v>
      </c>
      <c r="B1094" s="63" t="s">
        <v>3086</v>
      </c>
      <c r="C1094" s="79" t="s">
        <v>8566</v>
      </c>
    </row>
    <row r="1095" spans="1:3" ht="31.5" x14ac:dyDescent="0.25">
      <c r="A1095" s="62" t="s">
        <v>3087</v>
      </c>
      <c r="B1095" s="63" t="s">
        <v>3088</v>
      </c>
      <c r="C1095" s="79" t="s">
        <v>8566</v>
      </c>
    </row>
    <row r="1096" spans="1:3" ht="31.5" x14ac:dyDescent="0.25">
      <c r="A1096" s="62" t="s">
        <v>3089</v>
      </c>
      <c r="B1096" s="63" t="s">
        <v>3090</v>
      </c>
      <c r="C1096" s="79" t="s">
        <v>8566</v>
      </c>
    </row>
    <row r="1097" spans="1:3" ht="31.5" x14ac:dyDescent="0.25">
      <c r="A1097" s="62" t="s">
        <v>3091</v>
      </c>
      <c r="B1097" s="63" t="s">
        <v>3092</v>
      </c>
      <c r="C1097" s="79" t="s">
        <v>8566</v>
      </c>
    </row>
    <row r="1098" spans="1:3" ht="31.5" x14ac:dyDescent="0.25">
      <c r="A1098" s="62" t="s">
        <v>3093</v>
      </c>
      <c r="B1098" s="63" t="s">
        <v>3094</v>
      </c>
      <c r="C1098" s="79" t="s">
        <v>8566</v>
      </c>
    </row>
    <row r="1099" spans="1:3" ht="31.5" x14ac:dyDescent="0.25">
      <c r="A1099" s="62" t="s">
        <v>3095</v>
      </c>
      <c r="B1099" s="63" t="s">
        <v>3096</v>
      </c>
      <c r="C1099" s="79" t="s">
        <v>8566</v>
      </c>
    </row>
    <row r="1100" spans="1:3" ht="31.5" x14ac:dyDescent="0.25">
      <c r="A1100" s="62" t="s">
        <v>3097</v>
      </c>
      <c r="B1100" s="63" t="s">
        <v>3098</v>
      </c>
      <c r="C1100" s="79" t="s">
        <v>8566</v>
      </c>
    </row>
    <row r="1101" spans="1:3" ht="31.5" x14ac:dyDescent="0.25">
      <c r="A1101" s="62" t="s">
        <v>3099</v>
      </c>
      <c r="B1101" s="63" t="s">
        <v>3100</v>
      </c>
      <c r="C1101" s="79" t="s">
        <v>8566</v>
      </c>
    </row>
    <row r="1102" spans="1:3" ht="31.5" x14ac:dyDescent="0.25">
      <c r="A1102" s="62" t="s">
        <v>3101</v>
      </c>
      <c r="B1102" s="63" t="s">
        <v>3102</v>
      </c>
      <c r="C1102" s="79" t="s">
        <v>8566</v>
      </c>
    </row>
    <row r="1103" spans="1:3" ht="31.5" x14ac:dyDescent="0.25">
      <c r="A1103" s="62" t="s">
        <v>3103</v>
      </c>
      <c r="B1103" s="63" t="s">
        <v>3104</v>
      </c>
      <c r="C1103" s="79" t="s">
        <v>8567</v>
      </c>
    </row>
    <row r="1104" spans="1:3" ht="31.5" x14ac:dyDescent="0.25">
      <c r="A1104" s="62" t="s">
        <v>3105</v>
      </c>
      <c r="B1104" s="63" t="s">
        <v>3106</v>
      </c>
      <c r="C1104" s="79" t="s">
        <v>8567</v>
      </c>
    </row>
    <row r="1105" spans="1:3" ht="18" x14ac:dyDescent="0.25">
      <c r="A1105" s="182"/>
      <c r="B1105" s="182" t="s">
        <v>8568</v>
      </c>
      <c r="C1105" s="183"/>
    </row>
    <row r="1106" spans="1:3" ht="31.5" x14ac:dyDescent="0.25">
      <c r="A1106" s="62" t="s">
        <v>3107</v>
      </c>
      <c r="B1106" s="63" t="s">
        <v>3108</v>
      </c>
      <c r="C1106" s="79" t="s">
        <v>8569</v>
      </c>
    </row>
    <row r="1107" spans="1:3" ht="31.5" x14ac:dyDescent="0.25">
      <c r="A1107" s="62" t="s">
        <v>3109</v>
      </c>
      <c r="B1107" s="63" t="s">
        <v>3110</v>
      </c>
      <c r="C1107" s="79" t="s">
        <v>8569</v>
      </c>
    </row>
    <row r="1108" spans="1:3" ht="31.5" x14ac:dyDescent="0.25">
      <c r="A1108" s="62" t="s">
        <v>3111</v>
      </c>
      <c r="B1108" s="63" t="s">
        <v>3112</v>
      </c>
      <c r="C1108" s="79" t="s">
        <v>8569</v>
      </c>
    </row>
    <row r="1109" spans="1:3" ht="31.5" x14ac:dyDescent="0.25">
      <c r="A1109" s="62" t="s">
        <v>3113</v>
      </c>
      <c r="B1109" s="63" t="s">
        <v>3114</v>
      </c>
      <c r="C1109" s="79" t="s">
        <v>8569</v>
      </c>
    </row>
    <row r="1110" spans="1:3" ht="31.5" x14ac:dyDescent="0.25">
      <c r="A1110" s="62" t="s">
        <v>3115</v>
      </c>
      <c r="B1110" s="63" t="s">
        <v>3116</v>
      </c>
      <c r="C1110" s="79" t="s">
        <v>8569</v>
      </c>
    </row>
    <row r="1111" spans="1:3" ht="31.5" x14ac:dyDescent="0.25">
      <c r="A1111" s="62" t="s">
        <v>3117</v>
      </c>
      <c r="B1111" s="63" t="s">
        <v>3118</v>
      </c>
      <c r="C1111" s="79" t="s">
        <v>8569</v>
      </c>
    </row>
    <row r="1112" spans="1:3" ht="31.5" x14ac:dyDescent="0.25">
      <c r="A1112" s="62" t="s">
        <v>3119</v>
      </c>
      <c r="B1112" s="63" t="s">
        <v>3120</v>
      </c>
      <c r="C1112" s="79" t="s">
        <v>8569</v>
      </c>
    </row>
    <row r="1113" spans="1:3" ht="31.5" x14ac:dyDescent="0.25">
      <c r="A1113" s="62" t="s">
        <v>3121</v>
      </c>
      <c r="B1113" s="63" t="s">
        <v>3122</v>
      </c>
      <c r="C1113" s="79" t="s">
        <v>8569</v>
      </c>
    </row>
    <row r="1114" spans="1:3" ht="31.5" x14ac:dyDescent="0.25">
      <c r="A1114" s="62" t="s">
        <v>3123</v>
      </c>
      <c r="B1114" s="63" t="s">
        <v>3124</v>
      </c>
      <c r="C1114" s="79" t="s">
        <v>8569</v>
      </c>
    </row>
    <row r="1115" spans="1:3" ht="31.5" x14ac:dyDescent="0.25">
      <c r="A1115" s="62" t="s">
        <v>3125</v>
      </c>
      <c r="B1115" s="63" t="s">
        <v>3126</v>
      </c>
      <c r="C1115" s="79" t="s">
        <v>8569</v>
      </c>
    </row>
    <row r="1116" spans="1:3" ht="31.5" x14ac:dyDescent="0.25">
      <c r="A1116" s="62" t="s">
        <v>3127</v>
      </c>
      <c r="B1116" s="63" t="s">
        <v>3128</v>
      </c>
      <c r="C1116" s="79" t="s">
        <v>8570</v>
      </c>
    </row>
    <row r="1117" spans="1:3" ht="31.5" x14ac:dyDescent="0.25">
      <c r="A1117" s="62" t="s">
        <v>3129</v>
      </c>
      <c r="B1117" s="63" t="s">
        <v>3130</v>
      </c>
      <c r="C1117" s="79" t="s">
        <v>8570</v>
      </c>
    </row>
    <row r="1118" spans="1:3" ht="31.5" x14ac:dyDescent="0.25">
      <c r="A1118" s="62" t="s">
        <v>3131</v>
      </c>
      <c r="B1118" s="63" t="s">
        <v>3132</v>
      </c>
      <c r="C1118" s="79" t="s">
        <v>8570</v>
      </c>
    </row>
    <row r="1119" spans="1:3" ht="31.5" x14ac:dyDescent="0.25">
      <c r="A1119" s="62" t="s">
        <v>3133</v>
      </c>
      <c r="B1119" s="63" t="s">
        <v>3134</v>
      </c>
      <c r="C1119" s="79" t="s">
        <v>8570</v>
      </c>
    </row>
    <row r="1120" spans="1:3" ht="31.5" x14ac:dyDescent="0.25">
      <c r="A1120" s="62" t="s">
        <v>3135</v>
      </c>
      <c r="B1120" s="63" t="s">
        <v>3136</v>
      </c>
      <c r="C1120" s="79" t="s">
        <v>8570</v>
      </c>
    </row>
    <row r="1121" spans="1:3" ht="31.5" x14ac:dyDescent="0.25">
      <c r="A1121" s="62" t="s">
        <v>3137</v>
      </c>
      <c r="B1121" s="63" t="s">
        <v>3138</v>
      </c>
      <c r="C1121" s="79" t="s">
        <v>8570</v>
      </c>
    </row>
    <row r="1122" spans="1:3" ht="31.5" x14ac:dyDescent="0.25">
      <c r="A1122" s="62" t="s">
        <v>3139</v>
      </c>
      <c r="B1122" s="63" t="s">
        <v>3140</v>
      </c>
      <c r="C1122" s="79" t="s">
        <v>8570</v>
      </c>
    </row>
    <row r="1123" spans="1:3" ht="31.5" x14ac:dyDescent="0.25">
      <c r="A1123" s="62" t="s">
        <v>3141</v>
      </c>
      <c r="B1123" s="63" t="s">
        <v>3142</v>
      </c>
      <c r="C1123" s="79" t="s">
        <v>8570</v>
      </c>
    </row>
    <row r="1124" spans="1:3" ht="31.5" x14ac:dyDescent="0.25">
      <c r="A1124" s="62" t="s">
        <v>3143</v>
      </c>
      <c r="B1124" s="63" t="s">
        <v>3144</v>
      </c>
      <c r="C1124" s="79" t="s">
        <v>8570</v>
      </c>
    </row>
    <row r="1125" spans="1:3" ht="31.5" x14ac:dyDescent="0.25">
      <c r="A1125" s="62" t="s">
        <v>3145</v>
      </c>
      <c r="B1125" s="63" t="s">
        <v>3146</v>
      </c>
      <c r="C1125" s="79" t="s">
        <v>8571</v>
      </c>
    </row>
    <row r="1126" spans="1:3" ht="31.5" x14ac:dyDescent="0.25">
      <c r="A1126" s="62" t="s">
        <v>3147</v>
      </c>
      <c r="B1126" s="63" t="s">
        <v>3148</v>
      </c>
      <c r="C1126" s="79" t="s">
        <v>8571</v>
      </c>
    </row>
    <row r="1127" spans="1:3" ht="31.5" x14ac:dyDescent="0.25">
      <c r="A1127" s="62" t="s">
        <v>3149</v>
      </c>
      <c r="B1127" s="63" t="s">
        <v>3150</v>
      </c>
      <c r="C1127" s="79" t="s">
        <v>8571</v>
      </c>
    </row>
    <row r="1128" spans="1:3" ht="31.5" x14ac:dyDescent="0.25">
      <c r="A1128" s="62" t="s">
        <v>3151</v>
      </c>
      <c r="B1128" s="63" t="s">
        <v>3152</v>
      </c>
      <c r="C1128" s="79" t="s">
        <v>8571</v>
      </c>
    </row>
    <row r="1129" spans="1:3" ht="31.5" x14ac:dyDescent="0.25">
      <c r="A1129" s="62" t="s">
        <v>3153</v>
      </c>
      <c r="B1129" s="63" t="s">
        <v>3154</v>
      </c>
      <c r="C1129" s="79" t="s">
        <v>8571</v>
      </c>
    </row>
    <row r="1130" spans="1:3" ht="31.5" x14ac:dyDescent="0.25">
      <c r="A1130" s="62" t="s">
        <v>3155</v>
      </c>
      <c r="B1130" s="63" t="s">
        <v>3156</v>
      </c>
      <c r="C1130" s="79" t="s">
        <v>8571</v>
      </c>
    </row>
    <row r="1131" spans="1:3" ht="31.5" x14ac:dyDescent="0.25">
      <c r="A1131" s="62" t="s">
        <v>3157</v>
      </c>
      <c r="B1131" s="63" t="s">
        <v>3158</v>
      </c>
      <c r="C1131" s="79" t="s">
        <v>8571</v>
      </c>
    </row>
    <row r="1132" spans="1:3" ht="31.5" x14ac:dyDescent="0.25">
      <c r="A1132" s="62" t="s">
        <v>3159</v>
      </c>
      <c r="B1132" s="63" t="s">
        <v>3160</v>
      </c>
      <c r="C1132" s="79" t="s">
        <v>8571</v>
      </c>
    </row>
    <row r="1133" spans="1:3" ht="31.5" x14ac:dyDescent="0.25">
      <c r="A1133" s="62" t="s">
        <v>3161</v>
      </c>
      <c r="B1133" s="63" t="s">
        <v>3162</v>
      </c>
      <c r="C1133" s="79" t="s">
        <v>8571</v>
      </c>
    </row>
    <row r="1134" spans="1:3" ht="31.5" x14ac:dyDescent="0.25">
      <c r="A1134" s="62" t="s">
        <v>3163</v>
      </c>
      <c r="B1134" s="63" t="s">
        <v>3164</v>
      </c>
      <c r="C1134" s="79" t="s">
        <v>8571</v>
      </c>
    </row>
    <row r="1135" spans="1:3" ht="31.5" x14ac:dyDescent="0.25">
      <c r="A1135" s="62" t="s">
        <v>3165</v>
      </c>
      <c r="B1135" s="63" t="s">
        <v>3166</v>
      </c>
      <c r="C1135" s="79" t="s">
        <v>8572</v>
      </c>
    </row>
    <row r="1136" spans="1:3" ht="31.5" x14ac:dyDescent="0.25">
      <c r="A1136" s="62" t="s">
        <v>3167</v>
      </c>
      <c r="B1136" s="63" t="s">
        <v>3168</v>
      </c>
      <c r="C1136" s="79" t="s">
        <v>8572</v>
      </c>
    </row>
    <row r="1137" spans="1:3" ht="18" x14ac:dyDescent="0.25">
      <c r="A1137" s="182"/>
      <c r="B1137" s="182" t="s">
        <v>8573</v>
      </c>
      <c r="C1137" s="183"/>
    </row>
    <row r="1138" spans="1:3" x14ac:dyDescent="0.25">
      <c r="A1138" s="62" t="s">
        <v>3169</v>
      </c>
      <c r="B1138" s="63" t="s">
        <v>3170</v>
      </c>
      <c r="C1138" s="79" t="s">
        <v>8574</v>
      </c>
    </row>
    <row r="1139" spans="1:3" x14ac:dyDescent="0.25">
      <c r="A1139" s="62" t="s">
        <v>3171</v>
      </c>
      <c r="B1139" s="63" t="s">
        <v>3172</v>
      </c>
      <c r="C1139" s="79" t="s">
        <v>8574</v>
      </c>
    </row>
    <row r="1140" spans="1:3" x14ac:dyDescent="0.25">
      <c r="A1140" s="62" t="s">
        <v>3173</v>
      </c>
      <c r="B1140" s="63" t="s">
        <v>3174</v>
      </c>
      <c r="C1140" s="79" t="s">
        <v>8574</v>
      </c>
    </row>
    <row r="1141" spans="1:3" x14ac:dyDescent="0.25">
      <c r="A1141" s="62" t="s">
        <v>3175</v>
      </c>
      <c r="B1141" s="63" t="s">
        <v>3176</v>
      </c>
      <c r="C1141" s="79" t="s">
        <v>8574</v>
      </c>
    </row>
    <row r="1142" spans="1:3" x14ac:dyDescent="0.25">
      <c r="A1142" s="62" t="s">
        <v>3177</v>
      </c>
      <c r="B1142" s="63" t="s">
        <v>3178</v>
      </c>
      <c r="C1142" s="79" t="s">
        <v>8574</v>
      </c>
    </row>
    <row r="1143" spans="1:3" x14ac:dyDescent="0.25">
      <c r="A1143" s="62" t="s">
        <v>3179</v>
      </c>
      <c r="B1143" s="63" t="s">
        <v>3180</v>
      </c>
      <c r="C1143" s="79" t="s">
        <v>8574</v>
      </c>
    </row>
    <row r="1144" spans="1:3" x14ac:dyDescent="0.25">
      <c r="A1144" s="62" t="s">
        <v>3181</v>
      </c>
      <c r="B1144" s="63" t="s">
        <v>3182</v>
      </c>
      <c r="C1144" s="79" t="s">
        <v>8575</v>
      </c>
    </row>
    <row r="1145" spans="1:3" x14ac:dyDescent="0.25">
      <c r="A1145" s="62" t="s">
        <v>3183</v>
      </c>
      <c r="B1145" s="63" t="s">
        <v>3184</v>
      </c>
      <c r="C1145" s="79" t="s">
        <v>8575</v>
      </c>
    </row>
    <row r="1146" spans="1:3" x14ac:dyDescent="0.25">
      <c r="A1146" s="62" t="s">
        <v>3185</v>
      </c>
      <c r="B1146" s="63" t="s">
        <v>3186</v>
      </c>
      <c r="C1146" s="79" t="s">
        <v>8575</v>
      </c>
    </row>
    <row r="1147" spans="1:3" x14ac:dyDescent="0.25">
      <c r="A1147" s="62" t="s">
        <v>3187</v>
      </c>
      <c r="B1147" s="63" t="s">
        <v>3188</v>
      </c>
      <c r="C1147" s="79" t="s">
        <v>8575</v>
      </c>
    </row>
    <row r="1148" spans="1:3" x14ac:dyDescent="0.25">
      <c r="A1148" s="62" t="s">
        <v>3189</v>
      </c>
      <c r="B1148" s="63" t="s">
        <v>3190</v>
      </c>
      <c r="C1148" s="79" t="s">
        <v>8576</v>
      </c>
    </row>
    <row r="1149" spans="1:3" x14ac:dyDescent="0.25">
      <c r="A1149" s="62" t="s">
        <v>3191</v>
      </c>
      <c r="B1149" s="63" t="s">
        <v>3192</v>
      </c>
      <c r="C1149" s="79" t="s">
        <v>8576</v>
      </c>
    </row>
    <row r="1150" spans="1:3" x14ac:dyDescent="0.25">
      <c r="A1150" s="62" t="s">
        <v>3193</v>
      </c>
      <c r="B1150" s="63" t="s">
        <v>3194</v>
      </c>
      <c r="C1150" s="79" t="s">
        <v>8576</v>
      </c>
    </row>
    <row r="1151" spans="1:3" x14ac:dyDescent="0.25">
      <c r="A1151" s="62" t="s">
        <v>3195</v>
      </c>
      <c r="B1151" s="63" t="s">
        <v>3196</v>
      </c>
      <c r="C1151" s="79" t="s">
        <v>8576</v>
      </c>
    </row>
    <row r="1152" spans="1:3" ht="18" x14ac:dyDescent="0.25">
      <c r="A1152" s="182"/>
      <c r="B1152" s="182" t="s">
        <v>8577</v>
      </c>
      <c r="C1152" s="183"/>
    </row>
    <row r="1153" spans="1:3" x14ac:dyDescent="0.25">
      <c r="A1153" s="62" t="s">
        <v>3197</v>
      </c>
      <c r="B1153" s="63" t="s">
        <v>3198</v>
      </c>
      <c r="C1153" s="79" t="s">
        <v>8578</v>
      </c>
    </row>
    <row r="1154" spans="1:3" x14ac:dyDescent="0.25">
      <c r="A1154" s="62" t="s">
        <v>3199</v>
      </c>
      <c r="B1154" s="63" t="s">
        <v>3200</v>
      </c>
      <c r="C1154" s="79" t="s">
        <v>8578</v>
      </c>
    </row>
    <row r="1155" spans="1:3" x14ac:dyDescent="0.25">
      <c r="A1155" s="62" t="s">
        <v>3201</v>
      </c>
      <c r="B1155" s="63" t="s">
        <v>3202</v>
      </c>
      <c r="C1155" s="79" t="s">
        <v>8578</v>
      </c>
    </row>
    <row r="1156" spans="1:3" x14ac:dyDescent="0.25">
      <c r="A1156" s="62" t="s">
        <v>3203</v>
      </c>
      <c r="B1156" s="63" t="s">
        <v>3204</v>
      </c>
      <c r="C1156" s="79" t="s">
        <v>8578</v>
      </c>
    </row>
    <row r="1157" spans="1:3" x14ac:dyDescent="0.25">
      <c r="A1157" s="62" t="s">
        <v>3205</v>
      </c>
      <c r="B1157" s="63" t="s">
        <v>3206</v>
      </c>
      <c r="C1157" s="79" t="s">
        <v>8579</v>
      </c>
    </row>
    <row r="1158" spans="1:3" x14ac:dyDescent="0.25">
      <c r="A1158" s="62" t="s">
        <v>3207</v>
      </c>
      <c r="B1158" s="63" t="s">
        <v>3208</v>
      </c>
      <c r="C1158" s="79" t="s">
        <v>8579</v>
      </c>
    </row>
    <row r="1159" spans="1:3" x14ac:dyDescent="0.25">
      <c r="A1159" s="62" t="s">
        <v>3209</v>
      </c>
      <c r="B1159" s="63" t="s">
        <v>3210</v>
      </c>
      <c r="C1159" s="79" t="s">
        <v>8580</v>
      </c>
    </row>
    <row r="1160" spans="1:3" x14ac:dyDescent="0.25">
      <c r="A1160" s="62" t="s">
        <v>3211</v>
      </c>
      <c r="B1160" s="63" t="s">
        <v>3212</v>
      </c>
      <c r="C1160" s="79" t="s">
        <v>8580</v>
      </c>
    </row>
    <row r="1161" spans="1:3" x14ac:dyDescent="0.25">
      <c r="A1161" s="62" t="s">
        <v>3213</v>
      </c>
      <c r="B1161" s="63" t="s">
        <v>3214</v>
      </c>
      <c r="C1161" s="79" t="s">
        <v>8580</v>
      </c>
    </row>
    <row r="1162" spans="1:3" x14ac:dyDescent="0.25">
      <c r="A1162" s="62" t="s">
        <v>3215</v>
      </c>
      <c r="B1162" s="63" t="s">
        <v>3216</v>
      </c>
      <c r="C1162" s="79" t="s">
        <v>8580</v>
      </c>
    </row>
    <row r="1163" spans="1:3" ht="18" x14ac:dyDescent="0.25">
      <c r="A1163" s="182"/>
      <c r="B1163" s="182" t="s">
        <v>8581</v>
      </c>
      <c r="C1163" s="183"/>
    </row>
    <row r="1164" spans="1:3" x14ac:dyDescent="0.25">
      <c r="A1164" s="62" t="s">
        <v>3217</v>
      </c>
      <c r="B1164" s="63" t="s">
        <v>3218</v>
      </c>
      <c r="C1164" s="79" t="s">
        <v>8582</v>
      </c>
    </row>
    <row r="1165" spans="1:3" x14ac:dyDescent="0.25">
      <c r="A1165" s="62" t="s">
        <v>3219</v>
      </c>
      <c r="B1165" s="63" t="s">
        <v>3220</v>
      </c>
      <c r="C1165" s="79" t="s">
        <v>8582</v>
      </c>
    </row>
    <row r="1166" spans="1:3" x14ac:dyDescent="0.25">
      <c r="A1166" s="62" t="s">
        <v>3221</v>
      </c>
      <c r="B1166" s="63" t="s">
        <v>3222</v>
      </c>
      <c r="C1166" s="79" t="s">
        <v>8582</v>
      </c>
    </row>
    <row r="1167" spans="1:3" x14ac:dyDescent="0.25">
      <c r="A1167" s="62" t="s">
        <v>3223</v>
      </c>
      <c r="B1167" s="63" t="s">
        <v>3224</v>
      </c>
      <c r="C1167" s="79" t="s">
        <v>8582</v>
      </c>
    </row>
    <row r="1168" spans="1:3" x14ac:dyDescent="0.25">
      <c r="A1168" s="62" t="s">
        <v>3225</v>
      </c>
      <c r="B1168" s="63" t="s">
        <v>3226</v>
      </c>
      <c r="C1168" s="79" t="s">
        <v>8582</v>
      </c>
    </row>
    <row r="1169" spans="1:3" x14ac:dyDescent="0.25">
      <c r="A1169" s="62" t="s">
        <v>3227</v>
      </c>
      <c r="B1169" s="63" t="s">
        <v>3228</v>
      </c>
      <c r="C1169" s="79" t="s">
        <v>8578</v>
      </c>
    </row>
    <row r="1170" spans="1:3" x14ac:dyDescent="0.25">
      <c r="A1170" s="62" t="s">
        <v>3229</v>
      </c>
      <c r="B1170" s="63" t="s">
        <v>3230</v>
      </c>
      <c r="C1170" s="79" t="s">
        <v>8578</v>
      </c>
    </row>
    <row r="1171" spans="1:3" x14ac:dyDescent="0.25">
      <c r="A1171" s="62" t="s">
        <v>3231</v>
      </c>
      <c r="B1171" s="63" t="s">
        <v>3232</v>
      </c>
      <c r="C1171" s="79" t="s">
        <v>8578</v>
      </c>
    </row>
    <row r="1172" spans="1:3" x14ac:dyDescent="0.25">
      <c r="A1172" s="62" t="s">
        <v>3233</v>
      </c>
      <c r="B1172" s="63" t="s">
        <v>3234</v>
      </c>
      <c r="C1172" s="79" t="s">
        <v>8578</v>
      </c>
    </row>
    <row r="1173" spans="1:3" x14ac:dyDescent="0.25">
      <c r="A1173" s="62" t="s">
        <v>3235</v>
      </c>
      <c r="B1173" s="63" t="s">
        <v>3236</v>
      </c>
      <c r="C1173" s="79" t="s">
        <v>8583</v>
      </c>
    </row>
    <row r="1174" spans="1:3" x14ac:dyDescent="0.25">
      <c r="A1174" s="62" t="s">
        <v>3237</v>
      </c>
      <c r="B1174" s="63" t="s">
        <v>3238</v>
      </c>
      <c r="C1174" s="79" t="s">
        <v>8583</v>
      </c>
    </row>
    <row r="1175" spans="1:3" x14ac:dyDescent="0.25">
      <c r="A1175" s="62" t="s">
        <v>3239</v>
      </c>
      <c r="B1175" s="63" t="s">
        <v>3240</v>
      </c>
      <c r="C1175" s="79" t="s">
        <v>8583</v>
      </c>
    </row>
    <row r="1176" spans="1:3" x14ac:dyDescent="0.25">
      <c r="A1176" s="62" t="s">
        <v>3241</v>
      </c>
      <c r="B1176" s="63" t="s">
        <v>3242</v>
      </c>
      <c r="C1176" s="79" t="s">
        <v>8583</v>
      </c>
    </row>
    <row r="1177" spans="1:3" x14ac:dyDescent="0.25">
      <c r="A1177" s="62" t="s">
        <v>3243</v>
      </c>
      <c r="B1177" s="63" t="s">
        <v>3244</v>
      </c>
      <c r="C1177" s="79" t="s">
        <v>8583</v>
      </c>
    </row>
    <row r="1178" spans="1:3" x14ac:dyDescent="0.25">
      <c r="A1178" s="62" t="s">
        <v>3245</v>
      </c>
      <c r="B1178" s="63" t="s">
        <v>3246</v>
      </c>
      <c r="C1178" s="79" t="s">
        <v>8584</v>
      </c>
    </row>
    <row r="1179" spans="1:3" x14ac:dyDescent="0.25">
      <c r="A1179" s="62" t="s">
        <v>3247</v>
      </c>
      <c r="B1179" s="63" t="s">
        <v>3248</v>
      </c>
      <c r="C1179" s="79" t="s">
        <v>8584</v>
      </c>
    </row>
    <row r="1180" spans="1:3" ht="18" x14ac:dyDescent="0.25">
      <c r="A1180" s="182"/>
      <c r="B1180" s="182" t="s">
        <v>8585</v>
      </c>
      <c r="C1180" s="183"/>
    </row>
    <row r="1181" spans="1:3" x14ac:dyDescent="0.25">
      <c r="A1181" s="62" t="s">
        <v>3249</v>
      </c>
      <c r="B1181" s="63" t="s">
        <v>3250</v>
      </c>
      <c r="C1181" s="79" t="s">
        <v>8582</v>
      </c>
    </row>
    <row r="1182" spans="1:3" x14ac:dyDescent="0.25">
      <c r="A1182" s="62" t="s">
        <v>3251</v>
      </c>
      <c r="B1182" s="63" t="s">
        <v>3252</v>
      </c>
      <c r="C1182" s="79" t="s">
        <v>8582</v>
      </c>
    </row>
    <row r="1183" spans="1:3" x14ac:dyDescent="0.25">
      <c r="A1183" s="62" t="s">
        <v>3253</v>
      </c>
      <c r="B1183" s="63" t="s">
        <v>3254</v>
      </c>
      <c r="C1183" s="79" t="s">
        <v>8582</v>
      </c>
    </row>
    <row r="1184" spans="1:3" x14ac:dyDescent="0.25">
      <c r="A1184" s="62" t="s">
        <v>3255</v>
      </c>
      <c r="B1184" s="63" t="s">
        <v>3256</v>
      </c>
      <c r="C1184" s="79" t="s">
        <v>8582</v>
      </c>
    </row>
    <row r="1185" spans="1:3" x14ac:dyDescent="0.25">
      <c r="A1185" s="62" t="s">
        <v>3257</v>
      </c>
      <c r="B1185" s="63" t="s">
        <v>3258</v>
      </c>
      <c r="C1185" s="79" t="s">
        <v>8582</v>
      </c>
    </row>
    <row r="1186" spans="1:3" x14ac:dyDescent="0.25">
      <c r="A1186" s="62" t="s">
        <v>3259</v>
      </c>
      <c r="B1186" s="63" t="s">
        <v>3260</v>
      </c>
      <c r="C1186" s="79" t="s">
        <v>8578</v>
      </c>
    </row>
    <row r="1187" spans="1:3" x14ac:dyDescent="0.25">
      <c r="A1187" s="62" t="s">
        <v>3261</v>
      </c>
      <c r="B1187" s="63" t="s">
        <v>3262</v>
      </c>
      <c r="C1187" s="79" t="s">
        <v>8578</v>
      </c>
    </row>
    <row r="1188" spans="1:3" x14ac:dyDescent="0.25">
      <c r="A1188" s="62" t="s">
        <v>3263</v>
      </c>
      <c r="B1188" s="63" t="s">
        <v>3264</v>
      </c>
      <c r="C1188" s="79" t="s">
        <v>8578</v>
      </c>
    </row>
    <row r="1189" spans="1:3" x14ac:dyDescent="0.25">
      <c r="A1189" s="62" t="s">
        <v>3265</v>
      </c>
      <c r="B1189" s="63" t="s">
        <v>3266</v>
      </c>
      <c r="C1189" s="79" t="s">
        <v>8578</v>
      </c>
    </row>
    <row r="1190" spans="1:3" x14ac:dyDescent="0.25">
      <c r="A1190" s="62" t="s">
        <v>3267</v>
      </c>
      <c r="B1190" s="63" t="s">
        <v>3268</v>
      </c>
      <c r="C1190" s="79" t="s">
        <v>8583</v>
      </c>
    </row>
    <row r="1191" spans="1:3" x14ac:dyDescent="0.25">
      <c r="A1191" s="62" t="s">
        <v>3269</v>
      </c>
      <c r="B1191" s="63" t="s">
        <v>3270</v>
      </c>
      <c r="C1191" s="79" t="s">
        <v>8583</v>
      </c>
    </row>
    <row r="1192" spans="1:3" x14ac:dyDescent="0.25">
      <c r="A1192" s="62" t="s">
        <v>3271</v>
      </c>
      <c r="B1192" s="63" t="s">
        <v>3272</v>
      </c>
      <c r="C1192" s="79" t="s">
        <v>8583</v>
      </c>
    </row>
    <row r="1193" spans="1:3" x14ac:dyDescent="0.25">
      <c r="A1193" s="62" t="s">
        <v>3273</v>
      </c>
      <c r="B1193" s="63" t="s">
        <v>3274</v>
      </c>
      <c r="C1193" s="79" t="s">
        <v>8583</v>
      </c>
    </row>
    <row r="1194" spans="1:3" x14ac:dyDescent="0.25">
      <c r="A1194" s="62" t="s">
        <v>3275</v>
      </c>
      <c r="B1194" s="63" t="s">
        <v>3276</v>
      </c>
      <c r="C1194" s="79" t="s">
        <v>8583</v>
      </c>
    </row>
    <row r="1195" spans="1:3" x14ac:dyDescent="0.25">
      <c r="A1195" s="62" t="s">
        <v>3277</v>
      </c>
      <c r="B1195" s="63" t="s">
        <v>3278</v>
      </c>
      <c r="C1195" s="79" t="s">
        <v>8583</v>
      </c>
    </row>
    <row r="1196" spans="1:3" x14ac:dyDescent="0.25">
      <c r="A1196" s="62" t="s">
        <v>3279</v>
      </c>
      <c r="B1196" s="63" t="s">
        <v>3280</v>
      </c>
      <c r="C1196" s="79" t="s">
        <v>8583</v>
      </c>
    </row>
    <row r="1197" spans="1:3" x14ac:dyDescent="0.25">
      <c r="A1197" s="62" t="s">
        <v>3281</v>
      </c>
      <c r="B1197" s="63" t="s">
        <v>3282</v>
      </c>
      <c r="C1197" s="79" t="s">
        <v>8583</v>
      </c>
    </row>
    <row r="1198" spans="1:3" x14ac:dyDescent="0.25">
      <c r="A1198" s="62" t="s">
        <v>3283</v>
      </c>
      <c r="B1198" s="63" t="s">
        <v>3284</v>
      </c>
      <c r="C1198" s="79" t="s">
        <v>8583</v>
      </c>
    </row>
    <row r="1199" spans="1:3" x14ac:dyDescent="0.25">
      <c r="A1199" s="62" t="s">
        <v>3285</v>
      </c>
      <c r="B1199" s="63" t="s">
        <v>3286</v>
      </c>
      <c r="C1199" s="79" t="s">
        <v>8584</v>
      </c>
    </row>
    <row r="1200" spans="1:3" x14ac:dyDescent="0.25">
      <c r="A1200" s="62" t="s">
        <v>3287</v>
      </c>
      <c r="B1200" s="63" t="s">
        <v>3288</v>
      </c>
      <c r="C1200" s="79" t="s">
        <v>8584</v>
      </c>
    </row>
    <row r="1201" spans="1:3" ht="18" x14ac:dyDescent="0.25">
      <c r="A1201" s="182"/>
      <c r="B1201" s="182" t="s">
        <v>8586</v>
      </c>
      <c r="C1201" s="183"/>
    </row>
    <row r="1202" spans="1:3" ht="31.5" x14ac:dyDescent="0.25">
      <c r="A1202" s="62" t="s">
        <v>3289</v>
      </c>
      <c r="B1202" s="63" t="s">
        <v>3290</v>
      </c>
      <c r="C1202" s="79" t="s">
        <v>8587</v>
      </c>
    </row>
    <row r="1203" spans="1:3" ht="31.5" x14ac:dyDescent="0.25">
      <c r="A1203" s="62" t="s">
        <v>3291</v>
      </c>
      <c r="B1203" s="63" t="s">
        <v>3292</v>
      </c>
      <c r="C1203" s="79" t="s">
        <v>8587</v>
      </c>
    </row>
    <row r="1204" spans="1:3" ht="31.5" x14ac:dyDescent="0.25">
      <c r="A1204" s="62" t="s">
        <v>3293</v>
      </c>
      <c r="B1204" s="63" t="s">
        <v>3294</v>
      </c>
      <c r="C1204" s="79" t="s">
        <v>8587</v>
      </c>
    </row>
    <row r="1205" spans="1:3" ht="31.5" x14ac:dyDescent="0.25">
      <c r="A1205" s="62" t="s">
        <v>3295</v>
      </c>
      <c r="B1205" s="63" t="s">
        <v>3296</v>
      </c>
      <c r="C1205" s="79" t="s">
        <v>8587</v>
      </c>
    </row>
    <row r="1206" spans="1:3" ht="31.5" x14ac:dyDescent="0.25">
      <c r="A1206" s="62" t="s">
        <v>3297</v>
      </c>
      <c r="B1206" s="63" t="s">
        <v>3298</v>
      </c>
      <c r="C1206" s="79" t="s">
        <v>8587</v>
      </c>
    </row>
    <row r="1207" spans="1:3" ht="31.5" x14ac:dyDescent="0.25">
      <c r="A1207" s="62" t="s">
        <v>3299</v>
      </c>
      <c r="B1207" s="63" t="s">
        <v>3300</v>
      </c>
      <c r="C1207" s="79" t="s">
        <v>8588</v>
      </c>
    </row>
    <row r="1208" spans="1:3" ht="31.5" x14ac:dyDescent="0.25">
      <c r="A1208" s="62" t="s">
        <v>3301</v>
      </c>
      <c r="B1208" s="63" t="s">
        <v>3302</v>
      </c>
      <c r="C1208" s="79" t="s">
        <v>8588</v>
      </c>
    </row>
    <row r="1209" spans="1:3" ht="31.5" x14ac:dyDescent="0.25">
      <c r="A1209" s="62" t="s">
        <v>3303</v>
      </c>
      <c r="B1209" s="63" t="s">
        <v>3304</v>
      </c>
      <c r="C1209" s="79" t="s">
        <v>8588</v>
      </c>
    </row>
    <row r="1210" spans="1:3" ht="31.5" x14ac:dyDescent="0.25">
      <c r="A1210" s="62" t="s">
        <v>3305</v>
      </c>
      <c r="B1210" s="63" t="s">
        <v>3306</v>
      </c>
      <c r="C1210" s="79" t="s">
        <v>8588</v>
      </c>
    </row>
    <row r="1211" spans="1:3" ht="31.5" x14ac:dyDescent="0.25">
      <c r="A1211" s="62" t="s">
        <v>3307</v>
      </c>
      <c r="B1211" s="63" t="s">
        <v>3308</v>
      </c>
      <c r="C1211" s="79" t="s">
        <v>8584</v>
      </c>
    </row>
    <row r="1212" spans="1:3" ht="31.5" x14ac:dyDescent="0.25">
      <c r="A1212" s="62" t="s">
        <v>3309</v>
      </c>
      <c r="B1212" s="63" t="s">
        <v>3310</v>
      </c>
      <c r="C1212" s="79" t="s">
        <v>8584</v>
      </c>
    </row>
    <row r="1213" spans="1:3" ht="31.5" x14ac:dyDescent="0.25">
      <c r="A1213" s="62" t="s">
        <v>3311</v>
      </c>
      <c r="B1213" s="63" t="s">
        <v>3312</v>
      </c>
      <c r="C1213" s="79" t="s">
        <v>8584</v>
      </c>
    </row>
    <row r="1214" spans="1:3" ht="31.5" x14ac:dyDescent="0.25">
      <c r="A1214" s="62" t="s">
        <v>3313</v>
      </c>
      <c r="B1214" s="63" t="s">
        <v>3314</v>
      </c>
      <c r="C1214" s="79" t="s">
        <v>8584</v>
      </c>
    </row>
    <row r="1215" spans="1:3" ht="31.5" x14ac:dyDescent="0.25">
      <c r="A1215" s="62" t="s">
        <v>3315</v>
      </c>
      <c r="B1215" s="63" t="s">
        <v>3316</v>
      </c>
      <c r="C1215" s="79" t="s">
        <v>8584</v>
      </c>
    </row>
    <row r="1216" spans="1:3" ht="31.5" x14ac:dyDescent="0.25">
      <c r="A1216" s="62" t="s">
        <v>3317</v>
      </c>
      <c r="B1216" s="63" t="s">
        <v>3318</v>
      </c>
      <c r="C1216" s="79" t="s">
        <v>8492</v>
      </c>
    </row>
    <row r="1217" spans="1:3" ht="31.5" x14ac:dyDescent="0.25">
      <c r="A1217" s="62" t="s">
        <v>3319</v>
      </c>
      <c r="B1217" s="63" t="s">
        <v>3320</v>
      </c>
      <c r="C1217" s="79" t="s">
        <v>8492</v>
      </c>
    </row>
    <row r="1218" spans="1:3" ht="31.5" x14ac:dyDescent="0.25">
      <c r="A1218" s="62" t="s">
        <v>3321</v>
      </c>
      <c r="B1218" s="63" t="s">
        <v>3322</v>
      </c>
      <c r="C1218" s="79" t="s">
        <v>8523</v>
      </c>
    </row>
    <row r="1219" spans="1:3" ht="31.5" x14ac:dyDescent="0.25">
      <c r="A1219" s="62" t="s">
        <v>3323</v>
      </c>
      <c r="B1219" s="63" t="s">
        <v>3324</v>
      </c>
      <c r="C1219" s="79" t="s">
        <v>8523</v>
      </c>
    </row>
    <row r="1220" spans="1:3" ht="31.5" x14ac:dyDescent="0.25">
      <c r="A1220" s="62" t="s">
        <v>3325</v>
      </c>
      <c r="B1220" s="63" t="s">
        <v>3326</v>
      </c>
      <c r="C1220" s="79" t="s">
        <v>8523</v>
      </c>
    </row>
    <row r="1221" spans="1:3" ht="31.5" x14ac:dyDescent="0.25">
      <c r="A1221" s="62" t="s">
        <v>3327</v>
      </c>
      <c r="B1221" s="63" t="s">
        <v>3328</v>
      </c>
      <c r="C1221" s="79" t="s">
        <v>8523</v>
      </c>
    </row>
    <row r="1222" spans="1:3" ht="31.5" x14ac:dyDescent="0.25">
      <c r="A1222" s="62" t="s">
        <v>3329</v>
      </c>
      <c r="B1222" s="63" t="s">
        <v>3330</v>
      </c>
      <c r="C1222" s="79" t="s">
        <v>8523</v>
      </c>
    </row>
    <row r="1223" spans="1:3" ht="31.5" x14ac:dyDescent="0.25">
      <c r="A1223" s="62" t="s">
        <v>3331</v>
      </c>
      <c r="B1223" s="63" t="s">
        <v>3332</v>
      </c>
      <c r="C1223" s="79" t="s">
        <v>8589</v>
      </c>
    </row>
    <row r="1224" spans="1:3" ht="31.5" x14ac:dyDescent="0.25">
      <c r="A1224" s="62" t="s">
        <v>3333</v>
      </c>
      <c r="B1224" s="63" t="s">
        <v>3334</v>
      </c>
      <c r="C1224" s="79" t="s">
        <v>8589</v>
      </c>
    </row>
    <row r="1225" spans="1:3" ht="31.5" x14ac:dyDescent="0.25">
      <c r="A1225" s="62" t="s">
        <v>3335</v>
      </c>
      <c r="B1225" s="63" t="s">
        <v>3336</v>
      </c>
      <c r="C1225" s="79" t="s">
        <v>8589</v>
      </c>
    </row>
    <row r="1226" spans="1:3" ht="31.5" x14ac:dyDescent="0.25">
      <c r="A1226" s="62" t="s">
        <v>3337</v>
      </c>
      <c r="B1226" s="63" t="s">
        <v>3338</v>
      </c>
      <c r="C1226" s="79" t="s">
        <v>8589</v>
      </c>
    </row>
    <row r="1227" spans="1:3" ht="31.5" x14ac:dyDescent="0.25">
      <c r="A1227" s="62" t="s">
        <v>3339</v>
      </c>
      <c r="B1227" s="63" t="s">
        <v>3340</v>
      </c>
      <c r="C1227" s="79" t="s">
        <v>8590</v>
      </c>
    </row>
    <row r="1228" spans="1:3" ht="31.5" x14ac:dyDescent="0.25">
      <c r="A1228" s="62" t="s">
        <v>3341</v>
      </c>
      <c r="B1228" s="63" t="s">
        <v>3342</v>
      </c>
      <c r="C1228" s="79" t="s">
        <v>8590</v>
      </c>
    </row>
    <row r="1229" spans="1:3" ht="31.5" x14ac:dyDescent="0.25">
      <c r="A1229" s="62" t="s">
        <v>3343</v>
      </c>
      <c r="B1229" s="63" t="s">
        <v>3344</v>
      </c>
      <c r="C1229" s="79" t="s">
        <v>8590</v>
      </c>
    </row>
    <row r="1230" spans="1:3" ht="31.5" x14ac:dyDescent="0.25">
      <c r="A1230" s="62" t="s">
        <v>3345</v>
      </c>
      <c r="B1230" s="63" t="s">
        <v>3346</v>
      </c>
      <c r="C1230" s="79" t="s">
        <v>8590</v>
      </c>
    </row>
    <row r="1231" spans="1:3" ht="31.5" x14ac:dyDescent="0.25">
      <c r="A1231" s="62" t="s">
        <v>3347</v>
      </c>
      <c r="B1231" s="63" t="s">
        <v>3348</v>
      </c>
      <c r="C1231" s="79" t="s">
        <v>8590</v>
      </c>
    </row>
    <row r="1232" spans="1:3" ht="31.5" x14ac:dyDescent="0.25">
      <c r="A1232" s="62" t="s">
        <v>3349</v>
      </c>
      <c r="B1232" s="63" t="s">
        <v>3350</v>
      </c>
      <c r="C1232" s="79" t="s">
        <v>8590</v>
      </c>
    </row>
    <row r="1233" spans="1:3" ht="31.5" x14ac:dyDescent="0.25">
      <c r="A1233" s="62" t="s">
        <v>3351</v>
      </c>
      <c r="B1233" s="63" t="s">
        <v>3352</v>
      </c>
      <c r="C1233" s="79" t="s">
        <v>8590</v>
      </c>
    </row>
    <row r="1234" spans="1:3" ht="31.5" x14ac:dyDescent="0.25">
      <c r="A1234" s="62" t="s">
        <v>3353</v>
      </c>
      <c r="B1234" s="63" t="s">
        <v>3354</v>
      </c>
      <c r="C1234" s="79" t="s">
        <v>8534</v>
      </c>
    </row>
    <row r="1235" spans="1:3" ht="31.5" x14ac:dyDescent="0.25">
      <c r="A1235" s="62" t="s">
        <v>3355</v>
      </c>
      <c r="B1235" s="63" t="s">
        <v>3356</v>
      </c>
      <c r="C1235" s="79" t="s">
        <v>8534</v>
      </c>
    </row>
    <row r="1236" spans="1:3" ht="18" x14ac:dyDescent="0.25">
      <c r="A1236" s="182"/>
      <c r="B1236" s="182" t="s">
        <v>8591</v>
      </c>
      <c r="C1236" s="183"/>
    </row>
    <row r="1237" spans="1:3" ht="31.5" x14ac:dyDescent="0.25">
      <c r="A1237" s="62" t="s">
        <v>3357</v>
      </c>
      <c r="B1237" s="63" t="s">
        <v>3358</v>
      </c>
      <c r="C1237" s="79" t="s">
        <v>8579</v>
      </c>
    </row>
    <row r="1238" spans="1:3" ht="31.5" x14ac:dyDescent="0.25">
      <c r="A1238" s="62" t="s">
        <v>3359</v>
      </c>
      <c r="B1238" s="63" t="s">
        <v>3360</v>
      </c>
      <c r="C1238" s="79" t="s">
        <v>8579</v>
      </c>
    </row>
    <row r="1239" spans="1:3" ht="31.5" x14ac:dyDescent="0.25">
      <c r="A1239" s="62" t="s">
        <v>3361</v>
      </c>
      <c r="B1239" s="63" t="s">
        <v>3362</v>
      </c>
      <c r="C1239" s="79" t="s">
        <v>8579</v>
      </c>
    </row>
    <row r="1240" spans="1:3" ht="31.5" x14ac:dyDescent="0.25">
      <c r="A1240" s="62" t="s">
        <v>3363</v>
      </c>
      <c r="B1240" s="63" t="s">
        <v>3364</v>
      </c>
      <c r="C1240" s="79" t="s">
        <v>8579</v>
      </c>
    </row>
    <row r="1241" spans="1:3" ht="31.5" x14ac:dyDescent="0.25">
      <c r="A1241" s="62" t="s">
        <v>3365</v>
      </c>
      <c r="B1241" s="63" t="s">
        <v>3366</v>
      </c>
      <c r="C1241" s="79" t="s">
        <v>8579</v>
      </c>
    </row>
    <row r="1242" spans="1:3" ht="31.5" x14ac:dyDescent="0.25">
      <c r="A1242" s="62" t="s">
        <v>3367</v>
      </c>
      <c r="B1242" s="63" t="s">
        <v>3368</v>
      </c>
      <c r="C1242" s="79" t="s">
        <v>8579</v>
      </c>
    </row>
    <row r="1243" spans="1:3" ht="31.5" x14ac:dyDescent="0.25">
      <c r="A1243" s="62" t="s">
        <v>3369</v>
      </c>
      <c r="B1243" s="63" t="s">
        <v>3370</v>
      </c>
      <c r="C1243" s="79" t="s">
        <v>8579</v>
      </c>
    </row>
    <row r="1244" spans="1:3" ht="31.5" x14ac:dyDescent="0.25">
      <c r="A1244" s="62" t="s">
        <v>3371</v>
      </c>
      <c r="B1244" s="63" t="s">
        <v>3372</v>
      </c>
      <c r="C1244" s="79" t="s">
        <v>8579</v>
      </c>
    </row>
    <row r="1245" spans="1:3" ht="31.5" x14ac:dyDescent="0.25">
      <c r="A1245" s="62" t="s">
        <v>3373</v>
      </c>
      <c r="B1245" s="63" t="s">
        <v>3374</v>
      </c>
      <c r="C1245" s="79" t="s">
        <v>8416</v>
      </c>
    </row>
    <row r="1246" spans="1:3" ht="31.5" x14ac:dyDescent="0.25">
      <c r="A1246" s="62" t="s">
        <v>3375</v>
      </c>
      <c r="B1246" s="63" t="s">
        <v>3376</v>
      </c>
      <c r="C1246" s="79" t="s">
        <v>8416</v>
      </c>
    </row>
    <row r="1247" spans="1:3" ht="31.5" x14ac:dyDescent="0.25">
      <c r="A1247" s="62" t="s">
        <v>3377</v>
      </c>
      <c r="B1247" s="63" t="s">
        <v>3378</v>
      </c>
      <c r="C1247" s="79" t="s">
        <v>8416</v>
      </c>
    </row>
    <row r="1248" spans="1:3" ht="31.5" x14ac:dyDescent="0.25">
      <c r="A1248" s="62" t="s">
        <v>3379</v>
      </c>
      <c r="B1248" s="63" t="s">
        <v>3380</v>
      </c>
      <c r="C1248" s="79" t="s">
        <v>8416</v>
      </c>
    </row>
    <row r="1249" spans="1:3" ht="31.5" x14ac:dyDescent="0.25">
      <c r="A1249" s="62" t="s">
        <v>3381</v>
      </c>
      <c r="B1249" s="63" t="s">
        <v>3382</v>
      </c>
      <c r="C1249" s="79" t="s">
        <v>8416</v>
      </c>
    </row>
    <row r="1250" spans="1:3" ht="31.5" x14ac:dyDescent="0.25">
      <c r="A1250" s="62" t="s">
        <v>3383</v>
      </c>
      <c r="B1250" s="63" t="s">
        <v>3384</v>
      </c>
      <c r="C1250" s="79" t="s">
        <v>8580</v>
      </c>
    </row>
    <row r="1251" spans="1:3" ht="31.5" x14ac:dyDescent="0.25">
      <c r="A1251" s="62" t="s">
        <v>3385</v>
      </c>
      <c r="B1251" s="63" t="s">
        <v>3386</v>
      </c>
      <c r="C1251" s="79" t="s">
        <v>8580</v>
      </c>
    </row>
    <row r="1252" spans="1:3" ht="31.5" x14ac:dyDescent="0.25">
      <c r="A1252" s="62" t="s">
        <v>3387</v>
      </c>
      <c r="B1252" s="63" t="s">
        <v>3388</v>
      </c>
      <c r="C1252" s="79" t="s">
        <v>8580</v>
      </c>
    </row>
    <row r="1253" spans="1:3" ht="31.5" x14ac:dyDescent="0.25">
      <c r="A1253" s="62" t="s">
        <v>3389</v>
      </c>
      <c r="B1253" s="63" t="s">
        <v>3390</v>
      </c>
      <c r="C1253" s="79" t="s">
        <v>8592</v>
      </c>
    </row>
    <row r="1254" spans="1:3" ht="31.5" x14ac:dyDescent="0.25">
      <c r="A1254" s="62" t="s">
        <v>3391</v>
      </c>
      <c r="B1254" s="63" t="s">
        <v>3392</v>
      </c>
      <c r="C1254" s="79" t="s">
        <v>8592</v>
      </c>
    </row>
    <row r="1255" spans="1:3" ht="31.5" x14ac:dyDescent="0.25">
      <c r="A1255" s="62" t="s">
        <v>3393</v>
      </c>
      <c r="B1255" s="63" t="s">
        <v>3394</v>
      </c>
      <c r="C1255" s="79" t="s">
        <v>8592</v>
      </c>
    </row>
    <row r="1256" spans="1:3" ht="31.5" x14ac:dyDescent="0.25">
      <c r="A1256" s="62" t="s">
        <v>3395</v>
      </c>
      <c r="B1256" s="63" t="s">
        <v>3396</v>
      </c>
      <c r="C1256" s="79" t="s">
        <v>8592</v>
      </c>
    </row>
    <row r="1257" spans="1:3" ht="31.5" x14ac:dyDescent="0.25">
      <c r="A1257" s="62" t="s">
        <v>3397</v>
      </c>
      <c r="B1257" s="63" t="s">
        <v>3398</v>
      </c>
      <c r="C1257" s="79" t="s">
        <v>8592</v>
      </c>
    </row>
    <row r="1258" spans="1:3" ht="31.5" x14ac:dyDescent="0.25">
      <c r="A1258" s="62" t="s">
        <v>3399</v>
      </c>
      <c r="B1258" s="63" t="s">
        <v>3400</v>
      </c>
      <c r="C1258" s="79" t="s">
        <v>8592</v>
      </c>
    </row>
    <row r="1259" spans="1:3" ht="31.5" x14ac:dyDescent="0.25">
      <c r="A1259" s="62" t="s">
        <v>3401</v>
      </c>
      <c r="B1259" s="63" t="s">
        <v>3402</v>
      </c>
      <c r="C1259" s="79" t="s">
        <v>8592</v>
      </c>
    </row>
    <row r="1260" spans="1:3" ht="31.5" x14ac:dyDescent="0.25">
      <c r="A1260" s="62" t="s">
        <v>3403</v>
      </c>
      <c r="B1260" s="63" t="s">
        <v>3404</v>
      </c>
      <c r="C1260" s="79" t="s">
        <v>8592</v>
      </c>
    </row>
    <row r="1261" spans="1:3" ht="31.5" x14ac:dyDescent="0.25">
      <c r="A1261" s="62" t="s">
        <v>3405</v>
      </c>
      <c r="B1261" s="63" t="s">
        <v>3406</v>
      </c>
      <c r="C1261" s="79" t="s">
        <v>8592</v>
      </c>
    </row>
    <row r="1262" spans="1:3" ht="18" x14ac:dyDescent="0.25">
      <c r="A1262" s="182"/>
      <c r="B1262" s="182" t="s">
        <v>8593</v>
      </c>
      <c r="C1262" s="183"/>
    </row>
    <row r="1263" spans="1:3" ht="31.5" x14ac:dyDescent="0.25">
      <c r="A1263" s="62" t="s">
        <v>3407</v>
      </c>
      <c r="B1263" s="63" t="s">
        <v>3408</v>
      </c>
      <c r="C1263" s="79" t="s">
        <v>8579</v>
      </c>
    </row>
    <row r="1264" spans="1:3" ht="31.5" x14ac:dyDescent="0.25">
      <c r="A1264" s="62" t="s">
        <v>3409</v>
      </c>
      <c r="B1264" s="63" t="s">
        <v>3410</v>
      </c>
      <c r="C1264" s="79" t="s">
        <v>8579</v>
      </c>
    </row>
    <row r="1265" spans="1:3" ht="31.5" x14ac:dyDescent="0.25">
      <c r="A1265" s="62" t="s">
        <v>3411</v>
      </c>
      <c r="B1265" s="63" t="s">
        <v>3412</v>
      </c>
      <c r="C1265" s="79" t="s">
        <v>8579</v>
      </c>
    </row>
    <row r="1266" spans="1:3" ht="31.5" x14ac:dyDescent="0.25">
      <c r="A1266" s="62" t="s">
        <v>3413</v>
      </c>
      <c r="B1266" s="63" t="s">
        <v>3414</v>
      </c>
      <c r="C1266" s="79" t="s">
        <v>8579</v>
      </c>
    </row>
    <row r="1267" spans="1:3" ht="31.5" x14ac:dyDescent="0.25">
      <c r="A1267" s="62" t="s">
        <v>3415</v>
      </c>
      <c r="B1267" s="63" t="s">
        <v>3416</v>
      </c>
      <c r="C1267" s="79" t="s">
        <v>8579</v>
      </c>
    </row>
    <row r="1268" spans="1:3" ht="31.5" x14ac:dyDescent="0.25">
      <c r="A1268" s="62" t="s">
        <v>3417</v>
      </c>
      <c r="B1268" s="63" t="s">
        <v>3418</v>
      </c>
      <c r="C1268" s="79" t="s">
        <v>8579</v>
      </c>
    </row>
    <row r="1269" spans="1:3" ht="31.5" x14ac:dyDescent="0.25">
      <c r="A1269" s="62" t="s">
        <v>3419</v>
      </c>
      <c r="B1269" s="63" t="s">
        <v>3420</v>
      </c>
      <c r="C1269" s="79" t="s">
        <v>8579</v>
      </c>
    </row>
    <row r="1270" spans="1:3" ht="31.5" x14ac:dyDescent="0.25">
      <c r="A1270" s="62" t="s">
        <v>3421</v>
      </c>
      <c r="B1270" s="63" t="s">
        <v>3422</v>
      </c>
      <c r="C1270" s="79" t="s">
        <v>8579</v>
      </c>
    </row>
    <row r="1271" spans="1:3" ht="31.5" x14ac:dyDescent="0.25">
      <c r="A1271" s="62" t="s">
        <v>3423</v>
      </c>
      <c r="B1271" s="63" t="s">
        <v>3424</v>
      </c>
      <c r="C1271" s="79" t="s">
        <v>8579</v>
      </c>
    </row>
    <row r="1272" spans="1:3" ht="31.5" x14ac:dyDescent="0.25">
      <c r="A1272" s="62" t="s">
        <v>3425</v>
      </c>
      <c r="B1272" s="63" t="s">
        <v>3426</v>
      </c>
      <c r="C1272" s="79" t="s">
        <v>8579</v>
      </c>
    </row>
    <row r="1273" spans="1:3" ht="31.5" x14ac:dyDescent="0.25">
      <c r="A1273" s="62" t="s">
        <v>3427</v>
      </c>
      <c r="B1273" s="63" t="s">
        <v>3428</v>
      </c>
      <c r="C1273" s="79" t="s">
        <v>8416</v>
      </c>
    </row>
    <row r="1274" spans="1:3" ht="31.5" x14ac:dyDescent="0.25">
      <c r="A1274" s="62" t="s">
        <v>3429</v>
      </c>
      <c r="B1274" s="63" t="s">
        <v>3430</v>
      </c>
      <c r="C1274" s="79" t="s">
        <v>8416</v>
      </c>
    </row>
    <row r="1275" spans="1:3" ht="31.5" x14ac:dyDescent="0.25">
      <c r="A1275" s="62" t="s">
        <v>3431</v>
      </c>
      <c r="B1275" s="63" t="s">
        <v>3432</v>
      </c>
      <c r="C1275" s="79" t="s">
        <v>8416</v>
      </c>
    </row>
    <row r="1276" spans="1:3" ht="31.5" x14ac:dyDescent="0.25">
      <c r="A1276" s="62" t="s">
        <v>3433</v>
      </c>
      <c r="B1276" s="63" t="s">
        <v>3434</v>
      </c>
      <c r="C1276" s="79" t="s">
        <v>8416</v>
      </c>
    </row>
    <row r="1277" spans="1:3" ht="31.5" x14ac:dyDescent="0.25">
      <c r="A1277" s="62" t="s">
        <v>3435</v>
      </c>
      <c r="B1277" s="63" t="s">
        <v>3436</v>
      </c>
      <c r="C1277" s="79" t="s">
        <v>8416</v>
      </c>
    </row>
    <row r="1278" spans="1:3" ht="31.5" x14ac:dyDescent="0.25">
      <c r="A1278" s="62" t="s">
        <v>3437</v>
      </c>
      <c r="B1278" s="63" t="s">
        <v>3438</v>
      </c>
      <c r="C1278" s="79" t="s">
        <v>8580</v>
      </c>
    </row>
    <row r="1279" spans="1:3" ht="31.5" x14ac:dyDescent="0.25">
      <c r="A1279" s="62" t="s">
        <v>3439</v>
      </c>
      <c r="B1279" s="63" t="s">
        <v>3440</v>
      </c>
      <c r="C1279" s="79" t="s">
        <v>8580</v>
      </c>
    </row>
    <row r="1280" spans="1:3" ht="31.5" x14ac:dyDescent="0.25">
      <c r="A1280" s="62" t="s">
        <v>3441</v>
      </c>
      <c r="B1280" s="63" t="s">
        <v>3442</v>
      </c>
      <c r="C1280" s="79" t="s">
        <v>8580</v>
      </c>
    </row>
    <row r="1281" spans="1:3" ht="31.5" x14ac:dyDescent="0.25">
      <c r="A1281" s="62" t="s">
        <v>3443</v>
      </c>
      <c r="B1281" s="63" t="s">
        <v>3444</v>
      </c>
      <c r="C1281" s="79" t="s">
        <v>8592</v>
      </c>
    </row>
    <row r="1282" spans="1:3" ht="31.5" x14ac:dyDescent="0.25">
      <c r="A1282" s="62" t="s">
        <v>3445</v>
      </c>
      <c r="B1282" s="63" t="s">
        <v>3446</v>
      </c>
      <c r="C1282" s="79" t="s">
        <v>8592</v>
      </c>
    </row>
    <row r="1283" spans="1:3" ht="31.5" x14ac:dyDescent="0.25">
      <c r="A1283" s="62" t="s">
        <v>3447</v>
      </c>
      <c r="B1283" s="63" t="s">
        <v>3448</v>
      </c>
      <c r="C1283" s="79" t="s">
        <v>8592</v>
      </c>
    </row>
    <row r="1284" spans="1:3" ht="31.5" x14ac:dyDescent="0.25">
      <c r="A1284" s="62" t="s">
        <v>3449</v>
      </c>
      <c r="B1284" s="63" t="s">
        <v>3450</v>
      </c>
      <c r="C1284" s="79" t="s">
        <v>8592</v>
      </c>
    </row>
    <row r="1285" spans="1:3" ht="31.5" x14ac:dyDescent="0.25">
      <c r="A1285" s="62" t="s">
        <v>3451</v>
      </c>
      <c r="B1285" s="63" t="s">
        <v>3452</v>
      </c>
      <c r="C1285" s="79" t="s">
        <v>8592</v>
      </c>
    </row>
    <row r="1286" spans="1:3" ht="31.5" x14ac:dyDescent="0.25">
      <c r="A1286" s="62" t="s">
        <v>3453</v>
      </c>
      <c r="B1286" s="63" t="s">
        <v>3454</v>
      </c>
      <c r="C1286" s="79" t="s">
        <v>8592</v>
      </c>
    </row>
    <row r="1287" spans="1:3" ht="31.5" x14ac:dyDescent="0.25">
      <c r="A1287" s="62" t="s">
        <v>3455</v>
      </c>
      <c r="B1287" s="63" t="s">
        <v>3456</v>
      </c>
      <c r="C1287" s="79" t="s">
        <v>8592</v>
      </c>
    </row>
    <row r="1288" spans="1:3" ht="31.5" x14ac:dyDescent="0.25">
      <c r="A1288" s="62" t="s">
        <v>3457</v>
      </c>
      <c r="B1288" s="63" t="s">
        <v>3458</v>
      </c>
      <c r="C1288" s="79" t="s">
        <v>8592</v>
      </c>
    </row>
    <row r="1289" spans="1:3" ht="31.5" x14ac:dyDescent="0.25">
      <c r="A1289" s="62" t="s">
        <v>3459</v>
      </c>
      <c r="B1289" s="63" t="s">
        <v>3460</v>
      </c>
      <c r="C1289" s="79" t="s">
        <v>8592</v>
      </c>
    </row>
    <row r="1290" spans="1:3" ht="31.5" x14ac:dyDescent="0.25">
      <c r="A1290" s="62" t="s">
        <v>3461</v>
      </c>
      <c r="B1290" s="63" t="s">
        <v>3462</v>
      </c>
      <c r="C1290" s="79" t="s">
        <v>8592</v>
      </c>
    </row>
    <row r="1291" spans="1:3" ht="18" x14ac:dyDescent="0.25">
      <c r="A1291" s="182"/>
      <c r="B1291" s="182" t="s">
        <v>8594</v>
      </c>
      <c r="C1291" s="183"/>
    </row>
    <row r="1292" spans="1:3" ht="31.5" x14ac:dyDescent="0.25">
      <c r="A1292" s="62" t="s">
        <v>3463</v>
      </c>
      <c r="B1292" s="63" t="s">
        <v>3464</v>
      </c>
      <c r="C1292" s="79" t="s">
        <v>8579</v>
      </c>
    </row>
    <row r="1293" spans="1:3" ht="31.5" x14ac:dyDescent="0.25">
      <c r="A1293" s="62" t="s">
        <v>3465</v>
      </c>
      <c r="B1293" s="63" t="s">
        <v>3466</v>
      </c>
      <c r="C1293" s="79" t="s">
        <v>8579</v>
      </c>
    </row>
    <row r="1294" spans="1:3" ht="31.5" x14ac:dyDescent="0.25">
      <c r="A1294" s="62" t="s">
        <v>3467</v>
      </c>
      <c r="B1294" s="63" t="s">
        <v>3468</v>
      </c>
      <c r="C1294" s="79" t="s">
        <v>8579</v>
      </c>
    </row>
    <row r="1295" spans="1:3" ht="31.5" x14ac:dyDescent="0.25">
      <c r="A1295" s="62" t="s">
        <v>3469</v>
      </c>
      <c r="B1295" s="63" t="s">
        <v>3470</v>
      </c>
      <c r="C1295" s="79" t="s">
        <v>8579</v>
      </c>
    </row>
    <row r="1296" spans="1:3" ht="31.5" x14ac:dyDescent="0.25">
      <c r="A1296" s="62" t="s">
        <v>3471</v>
      </c>
      <c r="B1296" s="63" t="s">
        <v>3472</v>
      </c>
      <c r="C1296" s="79" t="s">
        <v>8579</v>
      </c>
    </row>
    <row r="1297" spans="1:3" ht="31.5" x14ac:dyDescent="0.25">
      <c r="A1297" s="62" t="s">
        <v>3473</v>
      </c>
      <c r="B1297" s="63" t="s">
        <v>3474</v>
      </c>
      <c r="C1297" s="79" t="s">
        <v>8579</v>
      </c>
    </row>
    <row r="1298" spans="1:3" ht="31.5" x14ac:dyDescent="0.25">
      <c r="A1298" s="62" t="s">
        <v>3475</v>
      </c>
      <c r="B1298" s="63" t="s">
        <v>3476</v>
      </c>
      <c r="C1298" s="79" t="s">
        <v>8579</v>
      </c>
    </row>
    <row r="1299" spans="1:3" ht="31.5" x14ac:dyDescent="0.25">
      <c r="A1299" s="62" t="s">
        <v>3477</v>
      </c>
      <c r="B1299" s="63" t="s">
        <v>3478</v>
      </c>
      <c r="C1299" s="79" t="s">
        <v>8579</v>
      </c>
    </row>
    <row r="1300" spans="1:3" ht="31.5" x14ac:dyDescent="0.25">
      <c r="A1300" s="62" t="s">
        <v>3479</v>
      </c>
      <c r="B1300" s="63" t="s">
        <v>3480</v>
      </c>
      <c r="C1300" s="79" t="s">
        <v>8579</v>
      </c>
    </row>
    <row r="1301" spans="1:3" ht="31.5" x14ac:dyDescent="0.25">
      <c r="A1301" s="62" t="s">
        <v>3481</v>
      </c>
      <c r="B1301" s="63" t="s">
        <v>3482</v>
      </c>
      <c r="C1301" s="79" t="s">
        <v>8416</v>
      </c>
    </row>
    <row r="1302" spans="1:3" ht="31.5" x14ac:dyDescent="0.25">
      <c r="A1302" s="62" t="s">
        <v>3483</v>
      </c>
      <c r="B1302" s="63" t="s">
        <v>3484</v>
      </c>
      <c r="C1302" s="79" t="s">
        <v>8416</v>
      </c>
    </row>
    <row r="1303" spans="1:3" ht="31.5" x14ac:dyDescent="0.25">
      <c r="A1303" s="62" t="s">
        <v>3485</v>
      </c>
      <c r="B1303" s="63" t="s">
        <v>3486</v>
      </c>
      <c r="C1303" s="79" t="s">
        <v>8416</v>
      </c>
    </row>
    <row r="1304" spans="1:3" ht="31.5" x14ac:dyDescent="0.25">
      <c r="A1304" s="62" t="s">
        <v>3487</v>
      </c>
      <c r="B1304" s="63" t="s">
        <v>3488</v>
      </c>
      <c r="C1304" s="79" t="s">
        <v>8416</v>
      </c>
    </row>
    <row r="1305" spans="1:3" ht="31.5" x14ac:dyDescent="0.25">
      <c r="A1305" s="62" t="s">
        <v>3489</v>
      </c>
      <c r="B1305" s="63" t="s">
        <v>3490</v>
      </c>
      <c r="C1305" s="79" t="s">
        <v>8416</v>
      </c>
    </row>
    <row r="1306" spans="1:3" ht="31.5" x14ac:dyDescent="0.25">
      <c r="A1306" s="62" t="s">
        <v>3491</v>
      </c>
      <c r="B1306" s="63" t="s">
        <v>3492</v>
      </c>
      <c r="C1306" s="79" t="s">
        <v>8580</v>
      </c>
    </row>
    <row r="1307" spans="1:3" ht="31.5" x14ac:dyDescent="0.25">
      <c r="A1307" s="62" t="s">
        <v>3493</v>
      </c>
      <c r="B1307" s="63" t="s">
        <v>3494</v>
      </c>
      <c r="C1307" s="79" t="s">
        <v>8580</v>
      </c>
    </row>
    <row r="1308" spans="1:3" ht="31.5" x14ac:dyDescent="0.25">
      <c r="A1308" s="62" t="s">
        <v>3495</v>
      </c>
      <c r="B1308" s="63" t="s">
        <v>3496</v>
      </c>
      <c r="C1308" s="79" t="s">
        <v>8580</v>
      </c>
    </row>
    <row r="1309" spans="1:3" ht="31.5" x14ac:dyDescent="0.25">
      <c r="A1309" s="62" t="s">
        <v>3497</v>
      </c>
      <c r="B1309" s="63" t="s">
        <v>3498</v>
      </c>
      <c r="C1309" s="79" t="s">
        <v>8592</v>
      </c>
    </row>
    <row r="1310" spans="1:3" ht="31.5" x14ac:dyDescent="0.25">
      <c r="A1310" s="62" t="s">
        <v>3499</v>
      </c>
      <c r="B1310" s="63" t="s">
        <v>3500</v>
      </c>
      <c r="C1310" s="79" t="s">
        <v>8592</v>
      </c>
    </row>
    <row r="1311" spans="1:3" ht="31.5" x14ac:dyDescent="0.25">
      <c r="A1311" s="62" t="s">
        <v>3501</v>
      </c>
      <c r="B1311" s="63" t="s">
        <v>3502</v>
      </c>
      <c r="C1311" s="79" t="s">
        <v>8592</v>
      </c>
    </row>
    <row r="1312" spans="1:3" ht="31.5" x14ac:dyDescent="0.25">
      <c r="A1312" s="62" t="s">
        <v>3503</v>
      </c>
      <c r="B1312" s="63" t="s">
        <v>3504</v>
      </c>
      <c r="C1312" s="79" t="s">
        <v>8592</v>
      </c>
    </row>
    <row r="1313" spans="1:3" ht="31.5" x14ac:dyDescent="0.25">
      <c r="A1313" s="62" t="s">
        <v>3505</v>
      </c>
      <c r="B1313" s="63" t="s">
        <v>3506</v>
      </c>
      <c r="C1313" s="79" t="s">
        <v>8592</v>
      </c>
    </row>
    <row r="1314" spans="1:3" ht="31.5" x14ac:dyDescent="0.25">
      <c r="A1314" s="62" t="s">
        <v>3507</v>
      </c>
      <c r="B1314" s="63" t="s">
        <v>3508</v>
      </c>
      <c r="C1314" s="79" t="s">
        <v>8592</v>
      </c>
    </row>
    <row r="1315" spans="1:3" ht="31.5" x14ac:dyDescent="0.25">
      <c r="A1315" s="62" t="s">
        <v>3509</v>
      </c>
      <c r="B1315" s="63" t="s">
        <v>3510</v>
      </c>
      <c r="C1315" s="79" t="s">
        <v>8592</v>
      </c>
    </row>
    <row r="1316" spans="1:3" ht="31.5" x14ac:dyDescent="0.25">
      <c r="A1316" s="62" t="s">
        <v>3511</v>
      </c>
      <c r="B1316" s="63" t="s">
        <v>3512</v>
      </c>
      <c r="C1316" s="79" t="s">
        <v>8592</v>
      </c>
    </row>
    <row r="1317" spans="1:3" ht="31.5" x14ac:dyDescent="0.25">
      <c r="A1317" s="62" t="s">
        <v>3513</v>
      </c>
      <c r="B1317" s="63" t="s">
        <v>3514</v>
      </c>
      <c r="C1317" s="79" t="s">
        <v>8592</v>
      </c>
    </row>
    <row r="1318" spans="1:3" ht="31.5" x14ac:dyDescent="0.25">
      <c r="A1318" s="62" t="s">
        <v>3515</v>
      </c>
      <c r="B1318" s="63" t="s">
        <v>3516</v>
      </c>
      <c r="C1318" s="79" t="s">
        <v>8592</v>
      </c>
    </row>
    <row r="1319" spans="1:3" x14ac:dyDescent="0.25">
      <c r="A1319" s="62" t="s">
        <v>3517</v>
      </c>
      <c r="B1319" s="63" t="s">
        <v>3518</v>
      </c>
      <c r="C1319" s="79" t="s">
        <v>8595</v>
      </c>
    </row>
    <row r="1320" spans="1:3" ht="18" x14ac:dyDescent="0.25">
      <c r="A1320" s="182"/>
      <c r="B1320" s="182" t="s">
        <v>8596</v>
      </c>
      <c r="C1320" s="183"/>
    </row>
    <row r="1321" spans="1:3" ht="31.5" x14ac:dyDescent="0.25">
      <c r="A1321" s="62" t="s">
        <v>3519</v>
      </c>
      <c r="B1321" s="63" t="s">
        <v>3520</v>
      </c>
      <c r="C1321" s="79" t="s">
        <v>8579</v>
      </c>
    </row>
    <row r="1322" spans="1:3" ht="31.5" x14ac:dyDescent="0.25">
      <c r="A1322" s="62" t="s">
        <v>3521</v>
      </c>
      <c r="B1322" s="63" t="s">
        <v>3522</v>
      </c>
      <c r="C1322" s="79" t="s">
        <v>8579</v>
      </c>
    </row>
    <row r="1323" spans="1:3" ht="31.5" x14ac:dyDescent="0.25">
      <c r="A1323" s="62" t="s">
        <v>3523</v>
      </c>
      <c r="B1323" s="63" t="s">
        <v>3524</v>
      </c>
      <c r="C1323" s="79" t="s">
        <v>8579</v>
      </c>
    </row>
    <row r="1324" spans="1:3" ht="31.5" x14ac:dyDescent="0.25">
      <c r="A1324" s="62" t="s">
        <v>3525</v>
      </c>
      <c r="B1324" s="63" t="s">
        <v>3526</v>
      </c>
      <c r="C1324" s="79" t="s">
        <v>8579</v>
      </c>
    </row>
    <row r="1325" spans="1:3" ht="31.5" x14ac:dyDescent="0.25">
      <c r="A1325" s="62" t="s">
        <v>3527</v>
      </c>
      <c r="B1325" s="63" t="s">
        <v>3528</v>
      </c>
      <c r="C1325" s="79" t="s">
        <v>8579</v>
      </c>
    </row>
    <row r="1326" spans="1:3" ht="31.5" x14ac:dyDescent="0.25">
      <c r="A1326" s="62" t="s">
        <v>3529</v>
      </c>
      <c r="B1326" s="63" t="s">
        <v>3530</v>
      </c>
      <c r="C1326" s="79" t="s">
        <v>8579</v>
      </c>
    </row>
    <row r="1327" spans="1:3" ht="31.5" x14ac:dyDescent="0.25">
      <c r="A1327" s="62" t="s">
        <v>3531</v>
      </c>
      <c r="B1327" s="63" t="s">
        <v>3532</v>
      </c>
      <c r="C1327" s="79" t="s">
        <v>8579</v>
      </c>
    </row>
    <row r="1328" spans="1:3" ht="31.5" x14ac:dyDescent="0.25">
      <c r="A1328" s="62" t="s">
        <v>3533</v>
      </c>
      <c r="B1328" s="63" t="s">
        <v>3534</v>
      </c>
      <c r="C1328" s="79" t="s">
        <v>8579</v>
      </c>
    </row>
    <row r="1329" spans="1:3" ht="31.5" x14ac:dyDescent="0.25">
      <c r="A1329" s="62" t="s">
        <v>3535</v>
      </c>
      <c r="B1329" s="63" t="s">
        <v>3536</v>
      </c>
      <c r="C1329" s="79" t="s">
        <v>8579</v>
      </c>
    </row>
    <row r="1330" spans="1:3" ht="31.5" x14ac:dyDescent="0.25">
      <c r="A1330" s="62" t="s">
        <v>3537</v>
      </c>
      <c r="B1330" s="63" t="s">
        <v>3538</v>
      </c>
      <c r="C1330" s="79" t="s">
        <v>8416</v>
      </c>
    </row>
    <row r="1331" spans="1:3" ht="31.5" x14ac:dyDescent="0.25">
      <c r="A1331" s="62" t="s">
        <v>3539</v>
      </c>
      <c r="B1331" s="63" t="s">
        <v>3540</v>
      </c>
      <c r="C1331" s="79" t="s">
        <v>8416</v>
      </c>
    </row>
    <row r="1332" spans="1:3" ht="31.5" x14ac:dyDescent="0.25">
      <c r="A1332" s="62" t="s">
        <v>3541</v>
      </c>
      <c r="B1332" s="63" t="s">
        <v>3542</v>
      </c>
      <c r="C1332" s="79" t="s">
        <v>8416</v>
      </c>
    </row>
    <row r="1333" spans="1:3" ht="31.5" x14ac:dyDescent="0.25">
      <c r="A1333" s="62" t="s">
        <v>3543</v>
      </c>
      <c r="B1333" s="63" t="s">
        <v>3544</v>
      </c>
      <c r="C1333" s="79" t="s">
        <v>8416</v>
      </c>
    </row>
    <row r="1334" spans="1:3" ht="31.5" x14ac:dyDescent="0.25">
      <c r="A1334" s="62" t="s">
        <v>3545</v>
      </c>
      <c r="B1334" s="63" t="s">
        <v>3546</v>
      </c>
      <c r="C1334" s="79" t="s">
        <v>8416</v>
      </c>
    </row>
    <row r="1335" spans="1:3" ht="31.5" x14ac:dyDescent="0.25">
      <c r="A1335" s="62" t="s">
        <v>3547</v>
      </c>
      <c r="B1335" s="63" t="s">
        <v>3548</v>
      </c>
      <c r="C1335" s="79" t="s">
        <v>8580</v>
      </c>
    </row>
    <row r="1336" spans="1:3" ht="31.5" x14ac:dyDescent="0.25">
      <c r="A1336" s="62" t="s">
        <v>3549</v>
      </c>
      <c r="B1336" s="63" t="s">
        <v>3550</v>
      </c>
      <c r="C1336" s="79" t="s">
        <v>8580</v>
      </c>
    </row>
    <row r="1337" spans="1:3" ht="31.5" x14ac:dyDescent="0.25">
      <c r="A1337" s="62" t="s">
        <v>3551</v>
      </c>
      <c r="B1337" s="63" t="s">
        <v>3552</v>
      </c>
      <c r="C1337" s="79" t="s">
        <v>8580</v>
      </c>
    </row>
    <row r="1338" spans="1:3" ht="31.5" x14ac:dyDescent="0.25">
      <c r="A1338" s="62" t="s">
        <v>3553</v>
      </c>
      <c r="B1338" s="63" t="s">
        <v>3554</v>
      </c>
      <c r="C1338" s="79" t="s">
        <v>8592</v>
      </c>
    </row>
    <row r="1339" spans="1:3" ht="31.5" x14ac:dyDescent="0.25">
      <c r="A1339" s="62" t="s">
        <v>3555</v>
      </c>
      <c r="B1339" s="63" t="s">
        <v>3556</v>
      </c>
      <c r="C1339" s="79" t="s">
        <v>8592</v>
      </c>
    </row>
    <row r="1340" spans="1:3" ht="31.5" x14ac:dyDescent="0.25">
      <c r="A1340" s="62" t="s">
        <v>3557</v>
      </c>
      <c r="B1340" s="63" t="s">
        <v>3558</v>
      </c>
      <c r="C1340" s="79" t="s">
        <v>8592</v>
      </c>
    </row>
    <row r="1341" spans="1:3" ht="31.5" x14ac:dyDescent="0.25">
      <c r="A1341" s="62" t="s">
        <v>3559</v>
      </c>
      <c r="B1341" s="63" t="s">
        <v>3560</v>
      </c>
      <c r="C1341" s="79" t="s">
        <v>8592</v>
      </c>
    </row>
    <row r="1342" spans="1:3" ht="31.5" x14ac:dyDescent="0.25">
      <c r="A1342" s="62" t="s">
        <v>3561</v>
      </c>
      <c r="B1342" s="63" t="s">
        <v>3562</v>
      </c>
      <c r="C1342" s="79" t="s">
        <v>8592</v>
      </c>
    </row>
    <row r="1343" spans="1:3" ht="31.5" x14ac:dyDescent="0.25">
      <c r="A1343" s="62" t="s">
        <v>3563</v>
      </c>
      <c r="B1343" s="63" t="s">
        <v>3564</v>
      </c>
      <c r="C1343" s="79" t="s">
        <v>8592</v>
      </c>
    </row>
    <row r="1344" spans="1:3" ht="31.5" x14ac:dyDescent="0.25">
      <c r="A1344" s="62" t="s">
        <v>3565</v>
      </c>
      <c r="B1344" s="63" t="s">
        <v>3566</v>
      </c>
      <c r="C1344" s="79" t="s">
        <v>8592</v>
      </c>
    </row>
    <row r="1345" spans="1:3" ht="31.5" x14ac:dyDescent="0.25">
      <c r="A1345" s="62" t="s">
        <v>3567</v>
      </c>
      <c r="B1345" s="63" t="s">
        <v>3568</v>
      </c>
      <c r="C1345" s="79" t="s">
        <v>8592</v>
      </c>
    </row>
    <row r="1346" spans="1:3" ht="31.5" x14ac:dyDescent="0.25">
      <c r="A1346" s="62" t="s">
        <v>3569</v>
      </c>
      <c r="B1346" s="63" t="s">
        <v>3570</v>
      </c>
      <c r="C1346" s="79" t="s">
        <v>8592</v>
      </c>
    </row>
    <row r="1347" spans="1:3" ht="31.5" x14ac:dyDescent="0.25">
      <c r="A1347" s="62" t="s">
        <v>3571</v>
      </c>
      <c r="B1347" s="63" t="s">
        <v>3572</v>
      </c>
      <c r="C1347" s="79" t="s">
        <v>8592</v>
      </c>
    </row>
    <row r="1348" spans="1:3" x14ac:dyDescent="0.25">
      <c r="A1348" s="62" t="s">
        <v>3573</v>
      </c>
      <c r="B1348" s="63" t="s">
        <v>3574</v>
      </c>
      <c r="C1348" s="79" t="s">
        <v>8595</v>
      </c>
    </row>
    <row r="1349" spans="1:3" ht="18" x14ac:dyDescent="0.25">
      <c r="A1349" s="182"/>
      <c r="B1349" s="182" t="s">
        <v>8597</v>
      </c>
      <c r="C1349" s="183"/>
    </row>
    <row r="1350" spans="1:3" ht="31.5" x14ac:dyDescent="0.25">
      <c r="A1350" s="62" t="s">
        <v>3575</v>
      </c>
      <c r="B1350" s="63" t="s">
        <v>3576</v>
      </c>
      <c r="C1350" s="79" t="s">
        <v>8598</v>
      </c>
    </row>
    <row r="1351" spans="1:3" ht="31.5" x14ac:dyDescent="0.25">
      <c r="A1351" s="62" t="s">
        <v>3577</v>
      </c>
      <c r="B1351" s="63" t="s">
        <v>3578</v>
      </c>
      <c r="C1351" s="79" t="s">
        <v>8598</v>
      </c>
    </row>
    <row r="1352" spans="1:3" ht="31.5" x14ac:dyDescent="0.25">
      <c r="A1352" s="62" t="s">
        <v>3579</v>
      </c>
      <c r="B1352" s="63" t="s">
        <v>3580</v>
      </c>
      <c r="C1352" s="79" t="s">
        <v>8598</v>
      </c>
    </row>
    <row r="1353" spans="1:3" ht="31.5" x14ac:dyDescent="0.25">
      <c r="A1353" s="62" t="s">
        <v>3581</v>
      </c>
      <c r="B1353" s="63" t="s">
        <v>3582</v>
      </c>
      <c r="C1353" s="79" t="s">
        <v>8598</v>
      </c>
    </row>
    <row r="1354" spans="1:3" ht="31.5" x14ac:dyDescent="0.25">
      <c r="A1354" s="62" t="s">
        <v>3583</v>
      </c>
      <c r="B1354" s="63" t="s">
        <v>3584</v>
      </c>
      <c r="C1354" s="79" t="s">
        <v>8598</v>
      </c>
    </row>
    <row r="1355" spans="1:3" ht="31.5" x14ac:dyDescent="0.25">
      <c r="A1355" s="62" t="s">
        <v>3585</v>
      </c>
      <c r="B1355" s="63" t="s">
        <v>3586</v>
      </c>
      <c r="C1355" s="79" t="s">
        <v>8598</v>
      </c>
    </row>
    <row r="1356" spans="1:3" ht="31.5" x14ac:dyDescent="0.25">
      <c r="A1356" s="62" t="s">
        <v>3587</v>
      </c>
      <c r="B1356" s="63" t="s">
        <v>3588</v>
      </c>
      <c r="C1356" s="79" t="s">
        <v>8598</v>
      </c>
    </row>
    <row r="1357" spans="1:3" ht="31.5" x14ac:dyDescent="0.25">
      <c r="A1357" s="62" t="s">
        <v>3589</v>
      </c>
      <c r="B1357" s="63" t="s">
        <v>3590</v>
      </c>
      <c r="C1357" s="79" t="s">
        <v>8598</v>
      </c>
    </row>
    <row r="1358" spans="1:3" ht="31.5" x14ac:dyDescent="0.25">
      <c r="A1358" s="62" t="s">
        <v>3591</v>
      </c>
      <c r="B1358" s="63" t="s">
        <v>3592</v>
      </c>
      <c r="C1358" s="79" t="s">
        <v>8598</v>
      </c>
    </row>
    <row r="1359" spans="1:3" x14ac:dyDescent="0.25">
      <c r="A1359" s="62" t="s">
        <v>3593</v>
      </c>
      <c r="B1359" s="63" t="s">
        <v>3594</v>
      </c>
      <c r="C1359" s="79" t="s">
        <v>8599</v>
      </c>
    </row>
    <row r="1360" spans="1:3" ht="18" x14ac:dyDescent="0.25">
      <c r="A1360" s="182"/>
      <c r="B1360" s="182" t="s">
        <v>8600</v>
      </c>
      <c r="C1360" s="183"/>
    </row>
    <row r="1361" spans="1:3" ht="31.5" x14ac:dyDescent="0.25">
      <c r="A1361" s="62" t="s">
        <v>3595</v>
      </c>
      <c r="B1361" s="63" t="s">
        <v>3596</v>
      </c>
      <c r="C1361" s="79" t="s">
        <v>8598</v>
      </c>
    </row>
    <row r="1362" spans="1:3" ht="31.5" x14ac:dyDescent="0.25">
      <c r="A1362" s="62" t="s">
        <v>3597</v>
      </c>
      <c r="B1362" s="63" t="s">
        <v>3598</v>
      </c>
      <c r="C1362" s="79" t="s">
        <v>8598</v>
      </c>
    </row>
    <row r="1363" spans="1:3" ht="31.5" x14ac:dyDescent="0.25">
      <c r="A1363" s="62" t="s">
        <v>3599</v>
      </c>
      <c r="B1363" s="63" t="s">
        <v>3600</v>
      </c>
      <c r="C1363" s="79" t="s">
        <v>8598</v>
      </c>
    </row>
    <row r="1364" spans="1:3" ht="31.5" x14ac:dyDescent="0.25">
      <c r="A1364" s="62" t="s">
        <v>3601</v>
      </c>
      <c r="B1364" s="63" t="s">
        <v>3602</v>
      </c>
      <c r="C1364" s="79" t="s">
        <v>8598</v>
      </c>
    </row>
    <row r="1365" spans="1:3" ht="31.5" x14ac:dyDescent="0.25">
      <c r="A1365" s="62" t="s">
        <v>3603</v>
      </c>
      <c r="B1365" s="63" t="s">
        <v>3604</v>
      </c>
      <c r="C1365" s="79" t="s">
        <v>8598</v>
      </c>
    </row>
    <row r="1366" spans="1:3" ht="31.5" x14ac:dyDescent="0.25">
      <c r="A1366" s="62" t="s">
        <v>3605</v>
      </c>
      <c r="B1366" s="63" t="s">
        <v>3606</v>
      </c>
      <c r="C1366" s="79" t="s">
        <v>8598</v>
      </c>
    </row>
    <row r="1367" spans="1:3" ht="31.5" x14ac:dyDescent="0.25">
      <c r="A1367" s="62" t="s">
        <v>3607</v>
      </c>
      <c r="B1367" s="63" t="s">
        <v>3608</v>
      </c>
      <c r="C1367" s="79" t="s">
        <v>8598</v>
      </c>
    </row>
    <row r="1368" spans="1:3" ht="31.5" x14ac:dyDescent="0.25">
      <c r="A1368" s="62" t="s">
        <v>3609</v>
      </c>
      <c r="B1368" s="63" t="s">
        <v>3610</v>
      </c>
      <c r="C1368" s="79" t="s">
        <v>8598</v>
      </c>
    </row>
    <row r="1369" spans="1:3" ht="31.5" x14ac:dyDescent="0.25">
      <c r="A1369" s="62" t="s">
        <v>3611</v>
      </c>
      <c r="B1369" s="63" t="s">
        <v>3612</v>
      </c>
      <c r="C1369" s="79" t="s">
        <v>8598</v>
      </c>
    </row>
    <row r="1370" spans="1:3" x14ac:dyDescent="0.25">
      <c r="A1370" s="62" t="s">
        <v>3613</v>
      </c>
      <c r="B1370" s="63" t="s">
        <v>3614</v>
      </c>
      <c r="C1370" s="79" t="s">
        <v>8599</v>
      </c>
    </row>
    <row r="1371" spans="1:3" ht="18" x14ac:dyDescent="0.25">
      <c r="A1371" s="182"/>
      <c r="B1371" s="182" t="s">
        <v>8601</v>
      </c>
      <c r="C1371" s="183"/>
    </row>
    <row r="1372" spans="1:3" x14ac:dyDescent="0.25">
      <c r="A1372" s="62" t="s">
        <v>3615</v>
      </c>
      <c r="B1372" s="63" t="s">
        <v>3616</v>
      </c>
      <c r="C1372" s="79" t="s">
        <v>8602</v>
      </c>
    </row>
    <row r="1373" spans="1:3" x14ac:dyDescent="0.25">
      <c r="A1373" s="62" t="s">
        <v>3617</v>
      </c>
      <c r="B1373" s="63" t="s">
        <v>3618</v>
      </c>
      <c r="C1373" s="79" t="s">
        <v>8602</v>
      </c>
    </row>
    <row r="1374" spans="1:3" x14ac:dyDescent="0.25">
      <c r="A1374" s="62" t="s">
        <v>3619</v>
      </c>
      <c r="B1374" s="63" t="s">
        <v>3620</v>
      </c>
      <c r="C1374" s="79" t="s">
        <v>8602</v>
      </c>
    </row>
    <row r="1375" spans="1:3" x14ac:dyDescent="0.25">
      <c r="A1375" s="62" t="s">
        <v>3621</v>
      </c>
      <c r="B1375" s="63" t="s">
        <v>3622</v>
      </c>
      <c r="C1375" s="79" t="s">
        <v>8602</v>
      </c>
    </row>
    <row r="1376" spans="1:3" x14ac:dyDescent="0.25">
      <c r="A1376" s="62" t="s">
        <v>3623</v>
      </c>
      <c r="B1376" s="63" t="s">
        <v>3624</v>
      </c>
      <c r="C1376" s="79" t="s">
        <v>8602</v>
      </c>
    </row>
    <row r="1377" spans="1:3" x14ac:dyDescent="0.25">
      <c r="A1377" s="62" t="s">
        <v>3625</v>
      </c>
      <c r="B1377" s="63" t="s">
        <v>3626</v>
      </c>
      <c r="C1377" s="79" t="s">
        <v>8603</v>
      </c>
    </row>
    <row r="1378" spans="1:3" x14ac:dyDescent="0.25">
      <c r="A1378" s="62" t="s">
        <v>3627</v>
      </c>
      <c r="B1378" s="63" t="s">
        <v>3628</v>
      </c>
      <c r="C1378" s="79" t="s">
        <v>8603</v>
      </c>
    </row>
    <row r="1379" spans="1:3" x14ac:dyDescent="0.25">
      <c r="A1379" s="62" t="s">
        <v>3629</v>
      </c>
      <c r="B1379" s="63" t="s">
        <v>3630</v>
      </c>
      <c r="C1379" s="79" t="s">
        <v>8603</v>
      </c>
    </row>
    <row r="1380" spans="1:3" x14ac:dyDescent="0.25">
      <c r="A1380" s="62" t="s">
        <v>3631</v>
      </c>
      <c r="B1380" s="63" t="s">
        <v>3632</v>
      </c>
      <c r="C1380" s="79" t="s">
        <v>8603</v>
      </c>
    </row>
    <row r="1381" spans="1:3" x14ac:dyDescent="0.25">
      <c r="A1381" s="62" t="s">
        <v>3633</v>
      </c>
      <c r="B1381" s="63" t="s">
        <v>3634</v>
      </c>
      <c r="C1381" s="79" t="s">
        <v>8603</v>
      </c>
    </row>
    <row r="1382" spans="1:3" x14ac:dyDescent="0.25">
      <c r="A1382" s="62" t="s">
        <v>3635</v>
      </c>
      <c r="B1382" s="63" t="s">
        <v>3636</v>
      </c>
      <c r="C1382" s="79" t="s">
        <v>8604</v>
      </c>
    </row>
    <row r="1383" spans="1:3" x14ac:dyDescent="0.25">
      <c r="A1383" s="62" t="s">
        <v>3637</v>
      </c>
      <c r="B1383" s="63" t="s">
        <v>3638</v>
      </c>
      <c r="C1383" s="79" t="s">
        <v>8604</v>
      </c>
    </row>
    <row r="1384" spans="1:3" x14ac:dyDescent="0.25">
      <c r="A1384" s="62" t="s">
        <v>3639</v>
      </c>
      <c r="B1384" s="63" t="s">
        <v>3640</v>
      </c>
      <c r="C1384" s="79" t="s">
        <v>8604</v>
      </c>
    </row>
    <row r="1385" spans="1:3" x14ac:dyDescent="0.25">
      <c r="A1385" s="62" t="s">
        <v>3641</v>
      </c>
      <c r="B1385" s="63" t="s">
        <v>3642</v>
      </c>
      <c r="C1385" s="79" t="s">
        <v>8604</v>
      </c>
    </row>
    <row r="1386" spans="1:3" x14ac:dyDescent="0.25">
      <c r="A1386" s="62" t="s">
        <v>3643</v>
      </c>
      <c r="B1386" s="63" t="s">
        <v>3644</v>
      </c>
      <c r="C1386" s="79" t="s">
        <v>8604</v>
      </c>
    </row>
    <row r="1387" spans="1:3" x14ac:dyDescent="0.25">
      <c r="A1387" s="62" t="s">
        <v>3645</v>
      </c>
      <c r="B1387" s="63" t="s">
        <v>3646</v>
      </c>
      <c r="C1387" s="79" t="s">
        <v>8605</v>
      </c>
    </row>
    <row r="1388" spans="1:3" x14ac:dyDescent="0.25">
      <c r="A1388" s="62" t="s">
        <v>3647</v>
      </c>
      <c r="B1388" s="63" t="s">
        <v>3648</v>
      </c>
      <c r="C1388" s="79" t="s">
        <v>8605</v>
      </c>
    </row>
    <row r="1389" spans="1:3" x14ac:dyDescent="0.25">
      <c r="A1389" s="62" t="s">
        <v>3649</v>
      </c>
      <c r="B1389" s="63" t="s">
        <v>3650</v>
      </c>
      <c r="C1389" s="79" t="s">
        <v>8605</v>
      </c>
    </row>
    <row r="1390" spans="1:3" x14ac:dyDescent="0.25">
      <c r="A1390" s="62" t="s">
        <v>3651</v>
      </c>
      <c r="B1390" s="63" t="s">
        <v>3652</v>
      </c>
      <c r="C1390" s="79" t="s">
        <v>8605</v>
      </c>
    </row>
    <row r="1391" spans="1:3" x14ac:dyDescent="0.25">
      <c r="A1391" s="62" t="s">
        <v>3653</v>
      </c>
      <c r="B1391" s="63" t="s">
        <v>3654</v>
      </c>
      <c r="C1391" s="79" t="s">
        <v>8605</v>
      </c>
    </row>
    <row r="1392" spans="1:3" ht="18" x14ac:dyDescent="0.25">
      <c r="A1392" s="182"/>
      <c r="B1392" s="182" t="s">
        <v>8606</v>
      </c>
      <c r="C1392" s="183"/>
    </row>
    <row r="1393" spans="1:3" ht="31.5" x14ac:dyDescent="0.25">
      <c r="A1393" s="62" t="s">
        <v>3655</v>
      </c>
      <c r="B1393" s="63" t="s">
        <v>3656</v>
      </c>
      <c r="C1393" s="79" t="s">
        <v>8607</v>
      </c>
    </row>
    <row r="1394" spans="1:3" ht="31.5" x14ac:dyDescent="0.25">
      <c r="A1394" s="62" t="s">
        <v>3657</v>
      </c>
      <c r="B1394" s="63" t="s">
        <v>3658</v>
      </c>
      <c r="C1394" s="79" t="s">
        <v>8607</v>
      </c>
    </row>
    <row r="1395" spans="1:3" ht="31.5" x14ac:dyDescent="0.25">
      <c r="A1395" s="62" t="s">
        <v>3659</v>
      </c>
      <c r="B1395" s="63" t="s">
        <v>3660</v>
      </c>
      <c r="C1395" s="79" t="s">
        <v>8607</v>
      </c>
    </row>
    <row r="1396" spans="1:3" ht="31.5" x14ac:dyDescent="0.25">
      <c r="A1396" s="62" t="s">
        <v>3661</v>
      </c>
      <c r="B1396" s="63" t="s">
        <v>3662</v>
      </c>
      <c r="C1396" s="79" t="s">
        <v>8607</v>
      </c>
    </row>
    <row r="1397" spans="1:3" ht="31.5" x14ac:dyDescent="0.25">
      <c r="A1397" s="62" t="s">
        <v>3663</v>
      </c>
      <c r="B1397" s="63" t="s">
        <v>3664</v>
      </c>
      <c r="C1397" s="79" t="s">
        <v>8608</v>
      </c>
    </row>
    <row r="1398" spans="1:3" ht="31.5" x14ac:dyDescent="0.25">
      <c r="A1398" s="62" t="s">
        <v>3665</v>
      </c>
      <c r="B1398" s="63" t="s">
        <v>3666</v>
      </c>
      <c r="C1398" s="79" t="s">
        <v>8607</v>
      </c>
    </row>
    <row r="1399" spans="1:3" ht="31.5" x14ac:dyDescent="0.25">
      <c r="A1399" s="62" t="s">
        <v>3667</v>
      </c>
      <c r="B1399" s="63" t="s">
        <v>3668</v>
      </c>
      <c r="C1399" s="79" t="s">
        <v>8609</v>
      </c>
    </row>
    <row r="1400" spans="1:3" ht="31.5" x14ac:dyDescent="0.25">
      <c r="A1400" s="62" t="s">
        <v>3669</v>
      </c>
      <c r="B1400" s="63" t="s">
        <v>3670</v>
      </c>
      <c r="C1400" s="79" t="s">
        <v>8609</v>
      </c>
    </row>
    <row r="1401" spans="1:3" ht="31.5" x14ac:dyDescent="0.25">
      <c r="A1401" s="62" t="s">
        <v>3671</v>
      </c>
      <c r="B1401" s="63" t="s">
        <v>3672</v>
      </c>
      <c r="C1401" s="79" t="s">
        <v>8609</v>
      </c>
    </row>
    <row r="1402" spans="1:3" ht="31.5" x14ac:dyDescent="0.25">
      <c r="A1402" s="62" t="s">
        <v>3673</v>
      </c>
      <c r="B1402" s="63" t="s">
        <v>3674</v>
      </c>
      <c r="C1402" s="79" t="s">
        <v>8609</v>
      </c>
    </row>
    <row r="1403" spans="1:3" ht="31.5" x14ac:dyDescent="0.25">
      <c r="A1403" s="62" t="s">
        <v>3675</v>
      </c>
      <c r="B1403" s="63" t="s">
        <v>3676</v>
      </c>
      <c r="C1403" s="79" t="s">
        <v>8609</v>
      </c>
    </row>
    <row r="1404" spans="1:3" ht="31.5" x14ac:dyDescent="0.25">
      <c r="A1404" s="62" t="s">
        <v>3677</v>
      </c>
      <c r="B1404" s="63" t="s">
        <v>3678</v>
      </c>
      <c r="C1404" s="79" t="s">
        <v>8609</v>
      </c>
    </row>
    <row r="1405" spans="1:3" ht="31.5" x14ac:dyDescent="0.25">
      <c r="A1405" s="62" t="s">
        <v>3679</v>
      </c>
      <c r="B1405" s="63" t="s">
        <v>3680</v>
      </c>
      <c r="C1405" s="79" t="s">
        <v>8609</v>
      </c>
    </row>
    <row r="1406" spans="1:3" ht="31.5" x14ac:dyDescent="0.25">
      <c r="A1406" s="62" t="s">
        <v>3681</v>
      </c>
      <c r="B1406" s="63" t="s">
        <v>3682</v>
      </c>
      <c r="C1406" s="79" t="s">
        <v>8609</v>
      </c>
    </row>
    <row r="1407" spans="1:3" ht="31.5" x14ac:dyDescent="0.25">
      <c r="A1407" s="62" t="s">
        <v>3683</v>
      </c>
      <c r="B1407" s="63" t="s">
        <v>3684</v>
      </c>
      <c r="C1407" s="79" t="s">
        <v>8609</v>
      </c>
    </row>
    <row r="1408" spans="1:3" ht="31.5" x14ac:dyDescent="0.25">
      <c r="A1408" s="62" t="s">
        <v>3685</v>
      </c>
      <c r="B1408" s="63" t="s">
        <v>3686</v>
      </c>
      <c r="C1408" s="79" t="s">
        <v>8609</v>
      </c>
    </row>
    <row r="1409" spans="1:3" ht="31.5" x14ac:dyDescent="0.25">
      <c r="A1409" s="62" t="s">
        <v>3687</v>
      </c>
      <c r="B1409" s="63" t="s">
        <v>3688</v>
      </c>
      <c r="C1409" s="79" t="s">
        <v>8609</v>
      </c>
    </row>
    <row r="1410" spans="1:3" ht="31.5" x14ac:dyDescent="0.25">
      <c r="A1410" s="62" t="s">
        <v>3689</v>
      </c>
      <c r="B1410" s="63" t="s">
        <v>3690</v>
      </c>
      <c r="C1410" s="79" t="s">
        <v>8609</v>
      </c>
    </row>
    <row r="1411" spans="1:3" ht="31.5" x14ac:dyDescent="0.25">
      <c r="A1411" s="62" t="s">
        <v>3691</v>
      </c>
      <c r="B1411" s="63" t="s">
        <v>3692</v>
      </c>
      <c r="C1411" s="79" t="s">
        <v>8609</v>
      </c>
    </row>
    <row r="1412" spans="1:3" ht="31.5" x14ac:dyDescent="0.25">
      <c r="A1412" s="62" t="s">
        <v>3693</v>
      </c>
      <c r="B1412" s="63" t="s">
        <v>3694</v>
      </c>
      <c r="C1412" s="79" t="s">
        <v>8609</v>
      </c>
    </row>
    <row r="1413" spans="1:3" ht="31.5" x14ac:dyDescent="0.25">
      <c r="A1413" s="62" t="s">
        <v>3695</v>
      </c>
      <c r="B1413" s="63" t="s">
        <v>3696</v>
      </c>
      <c r="C1413" s="79" t="s">
        <v>8610</v>
      </c>
    </row>
    <row r="1414" spans="1:3" ht="31.5" x14ac:dyDescent="0.25">
      <c r="A1414" s="62" t="s">
        <v>3697</v>
      </c>
      <c r="B1414" s="63" t="s">
        <v>3698</v>
      </c>
      <c r="C1414" s="79" t="s">
        <v>8609</v>
      </c>
    </row>
    <row r="1415" spans="1:3" ht="18" x14ac:dyDescent="0.25">
      <c r="A1415" s="182"/>
      <c r="B1415" s="182" t="s">
        <v>8611</v>
      </c>
      <c r="C1415" s="183"/>
    </row>
    <row r="1416" spans="1:3" x14ac:dyDescent="0.25">
      <c r="A1416" s="62" t="s">
        <v>3699</v>
      </c>
      <c r="B1416" s="63" t="s">
        <v>3700</v>
      </c>
      <c r="C1416" s="79" t="s">
        <v>8481</v>
      </c>
    </row>
    <row r="1417" spans="1:3" x14ac:dyDescent="0.25">
      <c r="A1417" s="62" t="s">
        <v>3701</v>
      </c>
      <c r="B1417" s="63" t="s">
        <v>3702</v>
      </c>
      <c r="C1417" s="79" t="s">
        <v>8481</v>
      </c>
    </row>
    <row r="1418" spans="1:3" ht="18" x14ac:dyDescent="0.25">
      <c r="A1418" s="182"/>
      <c r="B1418" s="182" t="s">
        <v>8612</v>
      </c>
      <c r="C1418" s="183"/>
    </row>
    <row r="1419" spans="1:3" ht="31.5" x14ac:dyDescent="0.25">
      <c r="A1419" s="62" t="s">
        <v>3703</v>
      </c>
      <c r="B1419" s="63" t="s">
        <v>3704</v>
      </c>
      <c r="C1419" s="79" t="s">
        <v>8613</v>
      </c>
    </row>
    <row r="1420" spans="1:3" ht="31.5" x14ac:dyDescent="0.25">
      <c r="A1420" s="62" t="s">
        <v>3705</v>
      </c>
      <c r="B1420" s="63" t="s">
        <v>3706</v>
      </c>
      <c r="C1420" s="79" t="s">
        <v>8613</v>
      </c>
    </row>
    <row r="1421" spans="1:3" ht="31.5" x14ac:dyDescent="0.25">
      <c r="A1421" s="62" t="s">
        <v>3707</v>
      </c>
      <c r="B1421" s="63" t="s">
        <v>3708</v>
      </c>
      <c r="C1421" s="79" t="s">
        <v>8613</v>
      </c>
    </row>
    <row r="1422" spans="1:3" ht="31.5" x14ac:dyDescent="0.25">
      <c r="A1422" s="62" t="s">
        <v>3709</v>
      </c>
      <c r="B1422" s="63" t="s">
        <v>3710</v>
      </c>
      <c r="C1422" s="79" t="s">
        <v>8613</v>
      </c>
    </row>
    <row r="1423" spans="1:3" ht="31.5" x14ac:dyDescent="0.25">
      <c r="A1423" s="62" t="s">
        <v>3711</v>
      </c>
      <c r="B1423" s="63" t="s">
        <v>3712</v>
      </c>
      <c r="C1423" s="79" t="s">
        <v>8613</v>
      </c>
    </row>
    <row r="1424" spans="1:3" ht="31.5" x14ac:dyDescent="0.25">
      <c r="A1424" s="62" t="s">
        <v>3713</v>
      </c>
      <c r="B1424" s="63" t="s">
        <v>3714</v>
      </c>
      <c r="C1424" s="79" t="s">
        <v>8613</v>
      </c>
    </row>
    <row r="1425" spans="1:3" ht="31.5" x14ac:dyDescent="0.25">
      <c r="A1425" s="62" t="s">
        <v>3715</v>
      </c>
      <c r="B1425" s="63" t="s">
        <v>3716</v>
      </c>
      <c r="C1425" s="79" t="s">
        <v>8613</v>
      </c>
    </row>
    <row r="1426" spans="1:3" ht="31.5" x14ac:dyDescent="0.25">
      <c r="A1426" s="62" t="s">
        <v>3717</v>
      </c>
      <c r="B1426" s="63" t="s">
        <v>3718</v>
      </c>
      <c r="C1426" s="79" t="s">
        <v>8613</v>
      </c>
    </row>
    <row r="1427" spans="1:3" ht="31.5" x14ac:dyDescent="0.25">
      <c r="A1427" s="62" t="s">
        <v>3719</v>
      </c>
      <c r="B1427" s="63" t="s">
        <v>3720</v>
      </c>
      <c r="C1427" s="79" t="s">
        <v>8613</v>
      </c>
    </row>
    <row r="1428" spans="1:3" ht="31.5" x14ac:dyDescent="0.25">
      <c r="A1428" s="62" t="s">
        <v>3721</v>
      </c>
      <c r="B1428" s="63" t="s">
        <v>3722</v>
      </c>
      <c r="C1428" s="79" t="s">
        <v>8613</v>
      </c>
    </row>
    <row r="1429" spans="1:3" ht="31.5" x14ac:dyDescent="0.25">
      <c r="A1429" s="62" t="s">
        <v>3723</v>
      </c>
      <c r="B1429" s="63" t="s">
        <v>3724</v>
      </c>
      <c r="C1429" s="79" t="s">
        <v>8613</v>
      </c>
    </row>
    <row r="1430" spans="1:3" ht="18" x14ac:dyDescent="0.25">
      <c r="A1430" s="182"/>
      <c r="B1430" s="182" t="s">
        <v>8615</v>
      </c>
      <c r="C1430" s="183"/>
    </row>
    <row r="1431" spans="1:3" ht="31.5" x14ac:dyDescent="0.25">
      <c r="A1431" s="62" t="s">
        <v>196</v>
      </c>
      <c r="B1431" s="63" t="s">
        <v>3725</v>
      </c>
      <c r="C1431" s="79" t="s">
        <v>8616</v>
      </c>
    </row>
    <row r="1432" spans="1:3" ht="31.5" x14ac:dyDescent="0.25">
      <c r="A1432" s="62" t="s">
        <v>3726</v>
      </c>
      <c r="B1432" s="63" t="s">
        <v>3727</v>
      </c>
      <c r="C1432" s="79" t="s">
        <v>8617</v>
      </c>
    </row>
    <row r="1433" spans="1:3" ht="31.5" x14ac:dyDescent="0.25">
      <c r="A1433" s="62" t="s">
        <v>3728</v>
      </c>
      <c r="B1433" s="63" t="s">
        <v>3729</v>
      </c>
      <c r="C1433" s="79" t="s">
        <v>8617</v>
      </c>
    </row>
    <row r="1434" spans="1:3" ht="18" x14ac:dyDescent="0.25">
      <c r="A1434" s="182"/>
      <c r="B1434" s="182" t="s">
        <v>8618</v>
      </c>
      <c r="C1434" s="183"/>
    </row>
    <row r="1435" spans="1:3" x14ac:dyDescent="0.25">
      <c r="A1435" s="62" t="s">
        <v>3730</v>
      </c>
      <c r="B1435" s="63" t="s">
        <v>3731</v>
      </c>
      <c r="C1435" s="79" t="s">
        <v>8619</v>
      </c>
    </row>
    <row r="1436" spans="1:3" ht="18" x14ac:dyDescent="0.25">
      <c r="A1436" s="182"/>
      <c r="B1436" s="182" t="s">
        <v>8620</v>
      </c>
      <c r="C1436" s="183"/>
    </row>
    <row r="1437" spans="1:3" x14ac:dyDescent="0.25">
      <c r="A1437" s="62" t="s">
        <v>3732</v>
      </c>
      <c r="B1437" s="63" t="s">
        <v>3733</v>
      </c>
      <c r="C1437" s="79" t="s">
        <v>8621</v>
      </c>
    </row>
    <row r="1438" spans="1:3" x14ac:dyDescent="0.25">
      <c r="A1438" s="62" t="s">
        <v>3734</v>
      </c>
      <c r="B1438" s="63" t="s">
        <v>3733</v>
      </c>
      <c r="C1438" s="79" t="s">
        <v>8621</v>
      </c>
    </row>
    <row r="1439" spans="1:3" ht="18" x14ac:dyDescent="0.25">
      <c r="A1439" s="182"/>
      <c r="B1439" s="182" t="s">
        <v>8622</v>
      </c>
      <c r="C1439" s="183"/>
    </row>
    <row r="1440" spans="1:3" x14ac:dyDescent="0.25">
      <c r="A1440" s="62" t="s">
        <v>3735</v>
      </c>
      <c r="B1440" s="63" t="s">
        <v>3736</v>
      </c>
      <c r="C1440" s="79" t="s">
        <v>8623</v>
      </c>
    </row>
    <row r="1441" spans="1:3" x14ac:dyDescent="0.25">
      <c r="A1441" s="62" t="s">
        <v>3737</v>
      </c>
      <c r="B1441" s="63" t="s">
        <v>3738</v>
      </c>
      <c r="C1441" s="79" t="s">
        <v>8623</v>
      </c>
    </row>
    <row r="1442" spans="1:3" x14ac:dyDescent="0.25">
      <c r="A1442" s="62" t="s">
        <v>3739</v>
      </c>
      <c r="B1442" s="63" t="s">
        <v>3736</v>
      </c>
      <c r="C1442" s="79" t="s">
        <v>8623</v>
      </c>
    </row>
    <row r="1443" spans="1:3" ht="18" x14ac:dyDescent="0.25">
      <c r="A1443" s="182"/>
      <c r="B1443" s="182" t="s">
        <v>8624</v>
      </c>
      <c r="C1443" s="183"/>
    </row>
    <row r="1444" spans="1:3" x14ac:dyDescent="0.25">
      <c r="A1444" s="62" t="s">
        <v>3740</v>
      </c>
      <c r="B1444" s="63" t="s">
        <v>3741</v>
      </c>
      <c r="C1444" s="79" t="s">
        <v>8621</v>
      </c>
    </row>
    <row r="1445" spans="1:3" x14ac:dyDescent="0.25">
      <c r="A1445" s="62" t="s">
        <v>3742</v>
      </c>
      <c r="B1445" s="63" t="s">
        <v>3741</v>
      </c>
      <c r="C1445" s="79" t="s">
        <v>8621</v>
      </c>
    </row>
    <row r="1446" spans="1:3" ht="18" x14ac:dyDescent="0.25">
      <c r="A1446" s="182"/>
      <c r="B1446" s="182" t="s">
        <v>8625</v>
      </c>
      <c r="C1446" s="183"/>
    </row>
    <row r="1447" spans="1:3" x14ac:dyDescent="0.25">
      <c r="A1447" s="62" t="s">
        <v>3743</v>
      </c>
      <c r="B1447" s="63" t="s">
        <v>3744</v>
      </c>
      <c r="C1447" s="79" t="s">
        <v>8626</v>
      </c>
    </row>
    <row r="1448" spans="1:3" ht="18" x14ac:dyDescent="0.25">
      <c r="A1448" s="182"/>
      <c r="B1448" s="182" t="s">
        <v>8627</v>
      </c>
      <c r="C1448" s="183"/>
    </row>
    <row r="1449" spans="1:3" x14ac:dyDescent="0.25">
      <c r="A1449" s="62" t="s">
        <v>3745</v>
      </c>
      <c r="B1449" s="63" t="s">
        <v>3746</v>
      </c>
      <c r="C1449" s="79" t="s">
        <v>8628</v>
      </c>
    </row>
    <row r="1450" spans="1:3" x14ac:dyDescent="0.25">
      <c r="A1450" s="62" t="s">
        <v>3747</v>
      </c>
      <c r="B1450" s="63" t="s">
        <v>3748</v>
      </c>
      <c r="C1450" s="79" t="s">
        <v>8629</v>
      </c>
    </row>
    <row r="1451" spans="1:3" ht="18" x14ac:dyDescent="0.25">
      <c r="A1451" s="182"/>
      <c r="B1451" s="182" t="s">
        <v>8630</v>
      </c>
      <c r="C1451" s="183"/>
    </row>
    <row r="1452" spans="1:3" x14ac:dyDescent="0.25">
      <c r="A1452" s="62" t="s">
        <v>3749</v>
      </c>
      <c r="B1452" s="63" t="s">
        <v>3750</v>
      </c>
      <c r="C1452" s="79" t="s">
        <v>8631</v>
      </c>
    </row>
    <row r="1453" spans="1:3" ht="18" x14ac:dyDescent="0.25">
      <c r="A1453" s="182"/>
      <c r="B1453" s="182" t="s">
        <v>8632</v>
      </c>
      <c r="C1453" s="183"/>
    </row>
    <row r="1454" spans="1:3" x14ac:dyDescent="0.25">
      <c r="A1454" s="62" t="s">
        <v>3751</v>
      </c>
      <c r="B1454" s="63" t="s">
        <v>3752</v>
      </c>
      <c r="C1454" s="79" t="s">
        <v>8631</v>
      </c>
    </row>
    <row r="1455" spans="1:3" ht="18" x14ac:dyDescent="0.25">
      <c r="A1455" s="182"/>
      <c r="B1455" s="182" t="s">
        <v>8633</v>
      </c>
      <c r="C1455" s="183"/>
    </row>
    <row r="1456" spans="1:3" x14ac:dyDescent="0.25">
      <c r="A1456" s="62" t="s">
        <v>3753</v>
      </c>
      <c r="B1456" s="63" t="s">
        <v>3754</v>
      </c>
      <c r="C1456" s="79" t="s">
        <v>8634</v>
      </c>
    </row>
    <row r="1457" spans="1:3" x14ac:dyDescent="0.25">
      <c r="A1457" s="62" t="s">
        <v>3755</v>
      </c>
      <c r="B1457" s="63" t="s">
        <v>3738</v>
      </c>
      <c r="C1457" s="79" t="s">
        <v>8623</v>
      </c>
    </row>
    <row r="1458" spans="1:3" x14ac:dyDescent="0.25">
      <c r="A1458" s="64"/>
      <c r="B1458" s="64" t="s">
        <v>8635</v>
      </c>
      <c r="C1458" s="80"/>
    </row>
    <row r="1459" spans="1:3" ht="18" x14ac:dyDescent="0.25">
      <c r="A1459" s="182"/>
      <c r="B1459" s="182" t="s">
        <v>8636</v>
      </c>
      <c r="C1459" s="183"/>
    </row>
    <row r="1460" spans="1:3" x14ac:dyDescent="0.25">
      <c r="A1460" s="62" t="s">
        <v>3756</v>
      </c>
      <c r="B1460" s="63" t="s">
        <v>3757</v>
      </c>
      <c r="C1460" s="79" t="s">
        <v>8637</v>
      </c>
    </row>
    <row r="1461" spans="1:3" ht="18" x14ac:dyDescent="0.25">
      <c r="A1461" s="182"/>
      <c r="B1461" s="182" t="s">
        <v>8638</v>
      </c>
      <c r="C1461" s="183"/>
    </row>
    <row r="1462" spans="1:3" x14ac:dyDescent="0.25">
      <c r="A1462" s="62" t="s">
        <v>3758</v>
      </c>
      <c r="B1462" s="63" t="s">
        <v>3759</v>
      </c>
      <c r="C1462" s="79" t="s">
        <v>8639</v>
      </c>
    </row>
    <row r="1463" spans="1:3" ht="18" x14ac:dyDescent="0.25">
      <c r="A1463" s="182"/>
      <c r="B1463" s="182" t="s">
        <v>8640</v>
      </c>
      <c r="C1463" s="183"/>
    </row>
    <row r="1464" spans="1:3" x14ac:dyDescent="0.25">
      <c r="A1464" s="62" t="s">
        <v>3760</v>
      </c>
      <c r="B1464" s="63" t="s">
        <v>3761</v>
      </c>
      <c r="C1464" s="79" t="s">
        <v>8641</v>
      </c>
    </row>
    <row r="1465" spans="1:3" ht="18" x14ac:dyDescent="0.25">
      <c r="A1465" s="182"/>
      <c r="B1465" s="182" t="s">
        <v>8642</v>
      </c>
      <c r="C1465" s="183"/>
    </row>
    <row r="1466" spans="1:3" x14ac:dyDescent="0.25">
      <c r="A1466" s="62" t="s">
        <v>3762</v>
      </c>
      <c r="B1466" s="63" t="s">
        <v>3763</v>
      </c>
      <c r="C1466" s="79" t="s">
        <v>8643</v>
      </c>
    </row>
    <row r="1467" spans="1:3" ht="18" x14ac:dyDescent="0.25">
      <c r="A1467" s="182"/>
      <c r="B1467" s="182" t="s">
        <v>8644</v>
      </c>
      <c r="C1467" s="183"/>
    </row>
    <row r="1468" spans="1:3" x14ac:dyDescent="0.25">
      <c r="A1468" s="62" t="s">
        <v>3764</v>
      </c>
      <c r="B1468" s="63" t="s">
        <v>3765</v>
      </c>
      <c r="C1468" s="79" t="s">
        <v>8645</v>
      </c>
    </row>
    <row r="1469" spans="1:3" x14ac:dyDescent="0.25">
      <c r="A1469" s="64"/>
      <c r="B1469" s="64" t="s">
        <v>8646</v>
      </c>
      <c r="C1469" s="80"/>
    </row>
    <row r="1470" spans="1:3" ht="18" x14ac:dyDescent="0.25">
      <c r="A1470" s="182"/>
      <c r="B1470" s="182" t="s">
        <v>8647</v>
      </c>
      <c r="C1470" s="183"/>
    </row>
    <row r="1471" spans="1:3" ht="31.5" x14ac:dyDescent="0.25">
      <c r="A1471" s="62" t="s">
        <v>3766</v>
      </c>
      <c r="B1471" s="63" t="s">
        <v>3767</v>
      </c>
      <c r="C1471" s="79" t="s">
        <v>8417</v>
      </c>
    </row>
    <row r="1472" spans="1:3" ht="18" x14ac:dyDescent="0.25">
      <c r="A1472" s="182"/>
      <c r="B1472" s="182" t="s">
        <v>8648</v>
      </c>
      <c r="C1472" s="183"/>
    </row>
    <row r="1473" spans="1:3" x14ac:dyDescent="0.25">
      <c r="A1473" s="62" t="s">
        <v>3768</v>
      </c>
      <c r="B1473" s="63" t="s">
        <v>3769</v>
      </c>
      <c r="C1473" s="79" t="s">
        <v>8649</v>
      </c>
    </row>
    <row r="1474" spans="1:3" ht="18" x14ac:dyDescent="0.25">
      <c r="A1474" s="182"/>
      <c r="B1474" s="182" t="s">
        <v>8650</v>
      </c>
      <c r="C1474" s="183"/>
    </row>
    <row r="1475" spans="1:3" x14ac:dyDescent="0.25">
      <c r="A1475" s="62" t="s">
        <v>3770</v>
      </c>
      <c r="B1475" s="63" t="s">
        <v>3771</v>
      </c>
      <c r="C1475" s="79" t="s">
        <v>8651</v>
      </c>
    </row>
    <row r="1476" spans="1:3" x14ac:dyDescent="0.25">
      <c r="A1476" s="62" t="s">
        <v>3772</v>
      </c>
      <c r="B1476" s="63" t="s">
        <v>3773</v>
      </c>
      <c r="C1476" s="79" t="s">
        <v>8652</v>
      </c>
    </row>
    <row r="1477" spans="1:3" x14ac:dyDescent="0.25">
      <c r="A1477" s="62" t="s">
        <v>3774</v>
      </c>
      <c r="B1477" s="63" t="s">
        <v>3775</v>
      </c>
      <c r="C1477" s="79" t="s">
        <v>8653</v>
      </c>
    </row>
    <row r="1478" spans="1:3" ht="18" x14ac:dyDescent="0.25">
      <c r="A1478" s="182"/>
      <c r="B1478" s="182" t="s">
        <v>8654</v>
      </c>
      <c r="C1478" s="183"/>
    </row>
    <row r="1479" spans="1:3" x14ac:dyDescent="0.25">
      <c r="A1479" s="62" t="s">
        <v>3776</v>
      </c>
      <c r="B1479" s="63" t="s">
        <v>3777</v>
      </c>
      <c r="C1479" s="79" t="s">
        <v>8655</v>
      </c>
    </row>
    <row r="1480" spans="1:3" ht="18" x14ac:dyDescent="0.25">
      <c r="A1480" s="182"/>
      <c r="B1480" s="182" t="s">
        <v>8656</v>
      </c>
      <c r="C1480" s="183"/>
    </row>
    <row r="1481" spans="1:3" x14ac:dyDescent="0.25">
      <c r="A1481" s="62" t="s">
        <v>3778</v>
      </c>
      <c r="B1481" s="63" t="s">
        <v>3779</v>
      </c>
      <c r="C1481" s="79" t="s">
        <v>8657</v>
      </c>
    </row>
    <row r="1482" spans="1:3" x14ac:dyDescent="0.25">
      <c r="A1482" s="64"/>
      <c r="B1482" s="64" t="s">
        <v>8658</v>
      </c>
      <c r="C1482" s="80"/>
    </row>
    <row r="1483" spans="1:3" ht="18" x14ac:dyDescent="0.25">
      <c r="A1483" s="182"/>
      <c r="B1483" s="182" t="s">
        <v>8659</v>
      </c>
      <c r="C1483" s="183"/>
    </row>
    <row r="1484" spans="1:3" x14ac:dyDescent="0.25">
      <c r="A1484" s="62" t="s">
        <v>3780</v>
      </c>
      <c r="B1484" s="63" t="s">
        <v>3781</v>
      </c>
      <c r="C1484" s="79" t="s">
        <v>8660</v>
      </c>
    </row>
    <row r="1485" spans="1:3" x14ac:dyDescent="0.25">
      <c r="A1485" s="62" t="s">
        <v>3782</v>
      </c>
      <c r="B1485" s="63" t="s">
        <v>3783</v>
      </c>
      <c r="C1485" s="79" t="s">
        <v>8660</v>
      </c>
    </row>
    <row r="1486" spans="1:3" x14ac:dyDescent="0.25">
      <c r="A1486" s="62" t="s">
        <v>3784</v>
      </c>
      <c r="B1486" s="63" t="s">
        <v>3785</v>
      </c>
      <c r="C1486" s="79" t="s">
        <v>8660</v>
      </c>
    </row>
    <row r="1487" spans="1:3" x14ac:dyDescent="0.25">
      <c r="A1487" s="62" t="s">
        <v>3786</v>
      </c>
      <c r="B1487" s="63" t="s">
        <v>3787</v>
      </c>
      <c r="C1487" s="79" t="s">
        <v>8660</v>
      </c>
    </row>
    <row r="1488" spans="1:3" x14ac:dyDescent="0.25">
      <c r="A1488" s="62" t="s">
        <v>3788</v>
      </c>
      <c r="B1488" s="63" t="s">
        <v>3789</v>
      </c>
      <c r="C1488" s="79" t="s">
        <v>8660</v>
      </c>
    </row>
    <row r="1489" spans="1:3" x14ac:dyDescent="0.25">
      <c r="A1489" s="62" t="s">
        <v>3790</v>
      </c>
      <c r="B1489" s="63" t="s">
        <v>3791</v>
      </c>
      <c r="C1489" s="79" t="s">
        <v>8660</v>
      </c>
    </row>
    <row r="1490" spans="1:3" x14ac:dyDescent="0.25">
      <c r="A1490" s="62" t="s">
        <v>3792</v>
      </c>
      <c r="B1490" s="63" t="s">
        <v>3793</v>
      </c>
      <c r="C1490" s="79" t="s">
        <v>8661</v>
      </c>
    </row>
    <row r="1491" spans="1:3" x14ac:dyDescent="0.25">
      <c r="A1491" s="62" t="s">
        <v>3794</v>
      </c>
      <c r="B1491" s="63" t="s">
        <v>3795</v>
      </c>
      <c r="C1491" s="79" t="s">
        <v>8661</v>
      </c>
    </row>
    <row r="1492" spans="1:3" x14ac:dyDescent="0.25">
      <c r="A1492" s="62" t="s">
        <v>3796</v>
      </c>
      <c r="B1492" s="63" t="s">
        <v>3797</v>
      </c>
      <c r="C1492" s="79" t="s">
        <v>8661</v>
      </c>
    </row>
    <row r="1493" spans="1:3" x14ac:dyDescent="0.25">
      <c r="A1493" s="62" t="s">
        <v>3798</v>
      </c>
      <c r="B1493" s="63" t="s">
        <v>3799</v>
      </c>
      <c r="C1493" s="79" t="s">
        <v>8661</v>
      </c>
    </row>
    <row r="1494" spans="1:3" x14ac:dyDescent="0.25">
      <c r="A1494" s="62" t="s">
        <v>3800</v>
      </c>
      <c r="B1494" s="63" t="s">
        <v>3801</v>
      </c>
      <c r="C1494" s="79" t="s">
        <v>8661</v>
      </c>
    </row>
    <row r="1495" spans="1:3" ht="18" x14ac:dyDescent="0.25">
      <c r="A1495" s="182"/>
      <c r="B1495" s="182" t="s">
        <v>8662</v>
      </c>
      <c r="C1495" s="183"/>
    </row>
    <row r="1496" spans="1:3" x14ac:dyDescent="0.25">
      <c r="A1496" s="62" t="s">
        <v>3802</v>
      </c>
      <c r="B1496" s="63" t="s">
        <v>3803</v>
      </c>
      <c r="C1496" s="79" t="s">
        <v>8521</v>
      </c>
    </row>
    <row r="1497" spans="1:3" x14ac:dyDescent="0.25">
      <c r="A1497" s="62" t="s">
        <v>3804</v>
      </c>
      <c r="B1497" s="63" t="s">
        <v>3805</v>
      </c>
      <c r="C1497" s="79" t="s">
        <v>8521</v>
      </c>
    </row>
    <row r="1498" spans="1:3" x14ac:dyDescent="0.25">
      <c r="A1498" s="62" t="s">
        <v>3806</v>
      </c>
      <c r="B1498" s="63" t="s">
        <v>3807</v>
      </c>
      <c r="C1498" s="79" t="s">
        <v>8521</v>
      </c>
    </row>
    <row r="1499" spans="1:3" x14ac:dyDescent="0.25">
      <c r="A1499" s="62" t="s">
        <v>3808</v>
      </c>
      <c r="B1499" s="63" t="s">
        <v>3809</v>
      </c>
      <c r="C1499" s="79" t="s">
        <v>8521</v>
      </c>
    </row>
    <row r="1500" spans="1:3" x14ac:dyDescent="0.25">
      <c r="A1500" s="62" t="s">
        <v>3810</v>
      </c>
      <c r="B1500" s="63" t="s">
        <v>3811</v>
      </c>
      <c r="C1500" s="79" t="s">
        <v>8521</v>
      </c>
    </row>
    <row r="1501" spans="1:3" x14ac:dyDescent="0.25">
      <c r="A1501" s="62" t="s">
        <v>3812</v>
      </c>
      <c r="B1501" s="63" t="s">
        <v>3813</v>
      </c>
      <c r="C1501" s="79" t="s">
        <v>8663</v>
      </c>
    </row>
    <row r="1502" spans="1:3" x14ac:dyDescent="0.25">
      <c r="A1502" s="62" t="s">
        <v>3814</v>
      </c>
      <c r="B1502" s="63" t="s">
        <v>3815</v>
      </c>
      <c r="C1502" s="79" t="s">
        <v>8663</v>
      </c>
    </row>
    <row r="1503" spans="1:3" x14ac:dyDescent="0.25">
      <c r="A1503" s="62" t="s">
        <v>3816</v>
      </c>
      <c r="B1503" s="63" t="s">
        <v>3817</v>
      </c>
      <c r="C1503" s="79" t="s">
        <v>8663</v>
      </c>
    </row>
    <row r="1504" spans="1:3" x14ac:dyDescent="0.25">
      <c r="A1504" s="62" t="s">
        <v>3818</v>
      </c>
      <c r="B1504" s="63" t="s">
        <v>3819</v>
      </c>
      <c r="C1504" s="79" t="s">
        <v>8663</v>
      </c>
    </row>
    <row r="1505" spans="1:3" x14ac:dyDescent="0.25">
      <c r="A1505" s="62" t="s">
        <v>3820</v>
      </c>
      <c r="B1505" s="63" t="s">
        <v>3821</v>
      </c>
      <c r="C1505" s="79" t="s">
        <v>8663</v>
      </c>
    </row>
    <row r="1506" spans="1:3" ht="18" x14ac:dyDescent="0.25">
      <c r="A1506" s="182"/>
      <c r="B1506" s="182" t="s">
        <v>3822</v>
      </c>
      <c r="C1506" s="183"/>
    </row>
    <row r="1507" spans="1:3" x14ac:dyDescent="0.25">
      <c r="A1507" s="62" t="s">
        <v>3823</v>
      </c>
      <c r="B1507" s="63" t="s">
        <v>3824</v>
      </c>
      <c r="C1507" s="79" t="s">
        <v>8547</v>
      </c>
    </row>
    <row r="1508" spans="1:3" x14ac:dyDescent="0.25">
      <c r="A1508" s="62" t="s">
        <v>3825</v>
      </c>
      <c r="B1508" s="63" t="s">
        <v>3826</v>
      </c>
      <c r="C1508" s="79" t="s">
        <v>8664</v>
      </c>
    </row>
    <row r="1509" spans="1:3" ht="18" x14ac:dyDescent="0.25">
      <c r="A1509" s="182"/>
      <c r="B1509" s="182" t="s">
        <v>8665</v>
      </c>
      <c r="C1509" s="183"/>
    </row>
    <row r="1510" spans="1:3" x14ac:dyDescent="0.25">
      <c r="A1510" s="62" t="s">
        <v>3827</v>
      </c>
      <c r="B1510" s="63" t="s">
        <v>3828</v>
      </c>
      <c r="C1510" s="79" t="s">
        <v>8666</v>
      </c>
    </row>
    <row r="1511" spans="1:3" ht="18" x14ac:dyDescent="0.25">
      <c r="A1511" s="182"/>
      <c r="B1511" s="182" t="s">
        <v>3829</v>
      </c>
      <c r="C1511" s="183"/>
    </row>
    <row r="1512" spans="1:3" x14ac:dyDescent="0.25">
      <c r="A1512" s="62" t="s">
        <v>3830</v>
      </c>
      <c r="B1512" s="63" t="s">
        <v>3831</v>
      </c>
      <c r="C1512" s="79" t="s">
        <v>8667</v>
      </c>
    </row>
    <row r="1513" spans="1:3" x14ac:dyDescent="0.25">
      <c r="A1513" s="62" t="s">
        <v>3832</v>
      </c>
      <c r="B1513" s="63" t="s">
        <v>3833</v>
      </c>
      <c r="C1513" s="79" t="s">
        <v>8668</v>
      </c>
    </row>
    <row r="1514" spans="1:3" ht="18" x14ac:dyDescent="0.25">
      <c r="A1514" s="182"/>
      <c r="B1514" s="182" t="s">
        <v>8669</v>
      </c>
      <c r="C1514" s="183"/>
    </row>
    <row r="1515" spans="1:3" x14ac:dyDescent="0.25">
      <c r="A1515" s="62" t="s">
        <v>3834</v>
      </c>
      <c r="B1515" s="63" t="s">
        <v>3835</v>
      </c>
      <c r="C1515" s="79" t="s">
        <v>8670</v>
      </c>
    </row>
    <row r="1516" spans="1:3" ht="18" x14ac:dyDescent="0.25">
      <c r="A1516" s="182"/>
      <c r="B1516" s="182" t="s">
        <v>3836</v>
      </c>
      <c r="C1516" s="183"/>
    </row>
    <row r="1517" spans="1:3" x14ac:dyDescent="0.25">
      <c r="A1517" s="62" t="s">
        <v>3837</v>
      </c>
      <c r="B1517" s="63" t="s">
        <v>3836</v>
      </c>
      <c r="C1517" s="79" t="s">
        <v>8671</v>
      </c>
    </row>
    <row r="1518" spans="1:3" ht="18" x14ac:dyDescent="0.25">
      <c r="A1518" s="182"/>
      <c r="B1518" s="182" t="s">
        <v>3838</v>
      </c>
      <c r="C1518" s="183"/>
    </row>
    <row r="1519" spans="1:3" x14ac:dyDescent="0.25">
      <c r="A1519" s="62" t="s">
        <v>3839</v>
      </c>
      <c r="B1519" s="63" t="s">
        <v>3838</v>
      </c>
      <c r="C1519" s="79" t="s">
        <v>8672</v>
      </c>
    </row>
    <row r="1520" spans="1:3" ht="18" x14ac:dyDescent="0.25">
      <c r="A1520" s="182"/>
      <c r="B1520" s="182" t="s">
        <v>8673</v>
      </c>
      <c r="C1520" s="183"/>
    </row>
    <row r="1521" spans="1:3" x14ac:dyDescent="0.25">
      <c r="A1521" s="62" t="s">
        <v>3840</v>
      </c>
      <c r="B1521" s="63" t="s">
        <v>3841</v>
      </c>
      <c r="C1521" s="79" t="s">
        <v>8674</v>
      </c>
    </row>
    <row r="1522" spans="1:3" ht="18" x14ac:dyDescent="0.25">
      <c r="A1522" s="182"/>
      <c r="B1522" s="182" t="s">
        <v>8675</v>
      </c>
      <c r="C1522" s="183"/>
    </row>
    <row r="1523" spans="1:3" x14ac:dyDescent="0.25">
      <c r="A1523" s="62" t="s">
        <v>3842</v>
      </c>
      <c r="B1523" s="63" t="s">
        <v>3843</v>
      </c>
      <c r="C1523" s="79" t="s">
        <v>8676</v>
      </c>
    </row>
    <row r="1524" spans="1:3" x14ac:dyDescent="0.25">
      <c r="A1524" s="62" t="s">
        <v>3844</v>
      </c>
      <c r="B1524" s="63" t="s">
        <v>3845</v>
      </c>
      <c r="C1524" s="79" t="s">
        <v>8676</v>
      </c>
    </row>
    <row r="1525" spans="1:3" x14ac:dyDescent="0.25">
      <c r="A1525" s="62" t="s">
        <v>3846</v>
      </c>
      <c r="B1525" s="63" t="s">
        <v>3847</v>
      </c>
      <c r="C1525" s="79" t="s">
        <v>8676</v>
      </c>
    </row>
    <row r="1526" spans="1:3" x14ac:dyDescent="0.25">
      <c r="A1526" s="62" t="s">
        <v>3848</v>
      </c>
      <c r="B1526" s="63" t="s">
        <v>3849</v>
      </c>
      <c r="C1526" s="79" t="s">
        <v>8676</v>
      </c>
    </row>
    <row r="1527" spans="1:3" x14ac:dyDescent="0.25">
      <c r="A1527" s="62" t="s">
        <v>3850</v>
      </c>
      <c r="B1527" s="63" t="s">
        <v>3851</v>
      </c>
      <c r="C1527" s="79" t="s">
        <v>8676</v>
      </c>
    </row>
    <row r="1528" spans="1:3" x14ac:dyDescent="0.25">
      <c r="A1528" s="62" t="s">
        <v>3852</v>
      </c>
      <c r="B1528" s="63" t="s">
        <v>3853</v>
      </c>
      <c r="C1528" s="79" t="s">
        <v>8676</v>
      </c>
    </row>
    <row r="1529" spans="1:3" x14ac:dyDescent="0.25">
      <c r="A1529" s="62" t="s">
        <v>3854</v>
      </c>
      <c r="B1529" s="63" t="s">
        <v>3855</v>
      </c>
      <c r="C1529" s="79" t="s">
        <v>8677</v>
      </c>
    </row>
    <row r="1530" spans="1:3" x14ac:dyDescent="0.25">
      <c r="A1530" s="62" t="s">
        <v>3856</v>
      </c>
      <c r="B1530" s="63" t="s">
        <v>3857</v>
      </c>
      <c r="C1530" s="79" t="s">
        <v>8677</v>
      </c>
    </row>
    <row r="1531" spans="1:3" x14ac:dyDescent="0.25">
      <c r="A1531" s="62" t="s">
        <v>3858</v>
      </c>
      <c r="B1531" s="63" t="s">
        <v>3859</v>
      </c>
      <c r="C1531" s="79" t="s">
        <v>8677</v>
      </c>
    </row>
    <row r="1532" spans="1:3" x14ac:dyDescent="0.25">
      <c r="A1532" s="62" t="s">
        <v>3860</v>
      </c>
      <c r="B1532" s="63" t="s">
        <v>3861</v>
      </c>
      <c r="C1532" s="79" t="s">
        <v>8677</v>
      </c>
    </row>
    <row r="1533" spans="1:3" x14ac:dyDescent="0.25">
      <c r="A1533" s="62" t="s">
        <v>3862</v>
      </c>
      <c r="B1533" s="63" t="s">
        <v>3863</v>
      </c>
      <c r="C1533" s="79" t="s">
        <v>8677</v>
      </c>
    </row>
    <row r="1534" spans="1:3" ht="18" x14ac:dyDescent="0.25">
      <c r="A1534" s="182"/>
      <c r="B1534" s="182" t="s">
        <v>8678</v>
      </c>
      <c r="C1534" s="183"/>
    </row>
    <row r="1535" spans="1:3" x14ac:dyDescent="0.25">
      <c r="A1535" s="62" t="s">
        <v>3864</v>
      </c>
      <c r="B1535" s="63" t="s">
        <v>3865</v>
      </c>
      <c r="C1535" s="79" t="s">
        <v>8679</v>
      </c>
    </row>
    <row r="1536" spans="1:3" x14ac:dyDescent="0.25">
      <c r="A1536" s="62" t="s">
        <v>3866</v>
      </c>
      <c r="B1536" s="63" t="s">
        <v>3867</v>
      </c>
      <c r="C1536" s="79" t="s">
        <v>8680</v>
      </c>
    </row>
    <row r="1537" spans="1:3" ht="18" x14ac:dyDescent="0.25">
      <c r="A1537" s="182"/>
      <c r="B1537" s="182" t="s">
        <v>8681</v>
      </c>
      <c r="C1537" s="183"/>
    </row>
    <row r="1538" spans="1:3" x14ac:dyDescent="0.25">
      <c r="A1538" s="62" t="s">
        <v>3868</v>
      </c>
      <c r="B1538" s="63" t="s">
        <v>3869</v>
      </c>
      <c r="C1538" s="79" t="s">
        <v>8682</v>
      </c>
    </row>
    <row r="1539" spans="1:3" ht="18" x14ac:dyDescent="0.25">
      <c r="A1539" s="182"/>
      <c r="B1539" s="182" t="s">
        <v>8683</v>
      </c>
      <c r="C1539" s="183"/>
    </row>
    <row r="1540" spans="1:3" x14ac:dyDescent="0.25">
      <c r="A1540" s="62" t="s">
        <v>3870</v>
      </c>
      <c r="B1540" s="63" t="s">
        <v>3871</v>
      </c>
      <c r="C1540" s="79" t="s">
        <v>8684</v>
      </c>
    </row>
    <row r="1541" spans="1:3" ht="18" x14ac:dyDescent="0.25">
      <c r="A1541" s="182"/>
      <c r="B1541" s="182" t="s">
        <v>3872</v>
      </c>
      <c r="C1541" s="183"/>
    </row>
    <row r="1542" spans="1:3" x14ac:dyDescent="0.25">
      <c r="A1542" s="62" t="s">
        <v>3873</v>
      </c>
      <c r="B1542" s="63" t="s">
        <v>3872</v>
      </c>
      <c r="C1542" s="79" t="s">
        <v>8685</v>
      </c>
    </row>
    <row r="1543" spans="1:3" x14ac:dyDescent="0.25">
      <c r="A1543" s="62" t="s">
        <v>3874</v>
      </c>
      <c r="B1543" s="63" t="s">
        <v>3872</v>
      </c>
      <c r="C1543" s="79" t="s">
        <v>8686</v>
      </c>
    </row>
    <row r="1544" spans="1:3" x14ac:dyDescent="0.25">
      <c r="A1544" s="62" t="s">
        <v>3875</v>
      </c>
      <c r="B1544" s="63" t="s">
        <v>3872</v>
      </c>
      <c r="C1544" s="79" t="s">
        <v>8649</v>
      </c>
    </row>
    <row r="1545" spans="1:3" x14ac:dyDescent="0.25">
      <c r="A1545" s="62" t="s">
        <v>3876</v>
      </c>
      <c r="B1545" s="63" t="s">
        <v>3872</v>
      </c>
      <c r="C1545" s="79" t="s">
        <v>8687</v>
      </c>
    </row>
    <row r="1546" spans="1:3" ht="18" x14ac:dyDescent="0.25">
      <c r="A1546" s="182"/>
      <c r="B1546" s="182" t="s">
        <v>8688</v>
      </c>
      <c r="C1546" s="183"/>
    </row>
    <row r="1547" spans="1:3" x14ac:dyDescent="0.25">
      <c r="A1547" s="62" t="s">
        <v>3877</v>
      </c>
      <c r="B1547" s="63" t="s">
        <v>3878</v>
      </c>
      <c r="C1547" s="79" t="s">
        <v>8689</v>
      </c>
    </row>
    <row r="1548" spans="1:3" ht="18" x14ac:dyDescent="0.25">
      <c r="A1548" s="182"/>
      <c r="B1548" s="182" t="s">
        <v>8690</v>
      </c>
      <c r="C1548" s="183"/>
    </row>
    <row r="1549" spans="1:3" x14ac:dyDescent="0.25">
      <c r="A1549" s="62" t="s">
        <v>3879</v>
      </c>
      <c r="B1549" s="63" t="s">
        <v>3880</v>
      </c>
      <c r="C1549" s="79" t="s">
        <v>8431</v>
      </c>
    </row>
    <row r="1550" spans="1:3" ht="18" x14ac:dyDescent="0.25">
      <c r="A1550" s="182"/>
      <c r="B1550" s="182" t="s">
        <v>8691</v>
      </c>
      <c r="C1550" s="183"/>
    </row>
    <row r="1551" spans="1:3" ht="31.5" x14ac:dyDescent="0.25">
      <c r="A1551" s="62" t="s">
        <v>3881</v>
      </c>
      <c r="B1551" s="63" t="s">
        <v>3882</v>
      </c>
      <c r="C1551" s="79" t="s">
        <v>8587</v>
      </c>
    </row>
    <row r="1552" spans="1:3" ht="18" x14ac:dyDescent="0.25">
      <c r="A1552" s="182"/>
      <c r="B1552" s="182" t="s">
        <v>8692</v>
      </c>
      <c r="C1552" s="183"/>
    </row>
    <row r="1553" spans="1:3" ht="31.5" x14ac:dyDescent="0.25">
      <c r="A1553" s="62" t="s">
        <v>3883</v>
      </c>
      <c r="B1553" s="63" t="s">
        <v>3884</v>
      </c>
      <c r="C1553" s="79" t="s">
        <v>8446</v>
      </c>
    </row>
    <row r="1554" spans="1:3" ht="31.5" x14ac:dyDescent="0.25">
      <c r="A1554" s="62" t="s">
        <v>3885</v>
      </c>
      <c r="B1554" s="63" t="s">
        <v>3886</v>
      </c>
      <c r="C1554" s="79" t="s">
        <v>8446</v>
      </c>
    </row>
    <row r="1555" spans="1:3" ht="31.5" x14ac:dyDescent="0.25">
      <c r="A1555" s="62" t="s">
        <v>3887</v>
      </c>
      <c r="B1555" s="63" t="s">
        <v>3888</v>
      </c>
      <c r="C1555" s="79" t="s">
        <v>8446</v>
      </c>
    </row>
    <row r="1556" spans="1:3" ht="31.5" x14ac:dyDescent="0.25">
      <c r="A1556" s="62" t="s">
        <v>3889</v>
      </c>
      <c r="B1556" s="63" t="s">
        <v>3890</v>
      </c>
      <c r="C1556" s="79" t="s">
        <v>8446</v>
      </c>
    </row>
    <row r="1557" spans="1:3" ht="18" x14ac:dyDescent="0.25">
      <c r="A1557" s="182"/>
      <c r="B1557" s="182" t="s">
        <v>8693</v>
      </c>
      <c r="C1557" s="183"/>
    </row>
    <row r="1558" spans="1:3" x14ac:dyDescent="0.25">
      <c r="A1558" s="62" t="s">
        <v>3891</v>
      </c>
      <c r="B1558" s="63" t="s">
        <v>3892</v>
      </c>
      <c r="C1558" s="79" t="s">
        <v>8694</v>
      </c>
    </row>
    <row r="1559" spans="1:3" ht="18" x14ac:dyDescent="0.25">
      <c r="A1559" s="182"/>
      <c r="B1559" s="182" t="s">
        <v>8695</v>
      </c>
      <c r="C1559" s="183"/>
    </row>
    <row r="1560" spans="1:3" x14ac:dyDescent="0.25">
      <c r="A1560" s="62" t="s">
        <v>3893</v>
      </c>
      <c r="B1560" s="63" t="s">
        <v>3894</v>
      </c>
      <c r="C1560" s="79" t="s">
        <v>8696</v>
      </c>
    </row>
    <row r="1561" spans="1:3" x14ac:dyDescent="0.25">
      <c r="A1561" s="62" t="s">
        <v>3895</v>
      </c>
      <c r="B1561" s="63" t="s">
        <v>3896</v>
      </c>
      <c r="C1561" s="79" t="s">
        <v>8697</v>
      </c>
    </row>
    <row r="1562" spans="1:3" x14ac:dyDescent="0.25">
      <c r="A1562" s="62" t="s">
        <v>3897</v>
      </c>
      <c r="B1562" s="63" t="s">
        <v>3898</v>
      </c>
      <c r="C1562" s="79" t="s">
        <v>8698</v>
      </c>
    </row>
    <row r="1563" spans="1:3" x14ac:dyDescent="0.25">
      <c r="A1563" s="62" t="s">
        <v>3899</v>
      </c>
      <c r="B1563" s="63" t="s">
        <v>3900</v>
      </c>
      <c r="C1563" s="79" t="s">
        <v>8699</v>
      </c>
    </row>
    <row r="1564" spans="1:3" x14ac:dyDescent="0.25">
      <c r="A1564" s="62" t="s">
        <v>3901</v>
      </c>
      <c r="B1564" s="63" t="s">
        <v>3902</v>
      </c>
      <c r="C1564" s="79" t="s">
        <v>8700</v>
      </c>
    </row>
    <row r="1565" spans="1:3" ht="18" x14ac:dyDescent="0.25">
      <c r="A1565" s="182"/>
      <c r="B1565" s="182" t="s">
        <v>8701</v>
      </c>
      <c r="C1565" s="183"/>
    </row>
    <row r="1566" spans="1:3" x14ac:dyDescent="0.25">
      <c r="A1566" s="62" t="s">
        <v>3903</v>
      </c>
      <c r="B1566" s="63" t="s">
        <v>3904</v>
      </c>
      <c r="C1566" s="79" t="s">
        <v>8702</v>
      </c>
    </row>
    <row r="1567" spans="1:3" x14ac:dyDescent="0.25">
      <c r="A1567" s="62" t="s">
        <v>3905</v>
      </c>
      <c r="B1567" s="63" t="s">
        <v>3906</v>
      </c>
      <c r="C1567" s="79" t="s">
        <v>8703</v>
      </c>
    </row>
    <row r="1568" spans="1:3" ht="18" x14ac:dyDescent="0.25">
      <c r="A1568" s="182"/>
      <c r="B1568" s="182" t="s">
        <v>8704</v>
      </c>
      <c r="C1568" s="183"/>
    </row>
    <row r="1569" spans="1:3" x14ac:dyDescent="0.25">
      <c r="A1569" s="62" t="s">
        <v>3907</v>
      </c>
      <c r="B1569" s="63" t="s">
        <v>3908</v>
      </c>
      <c r="C1569" s="79" t="s">
        <v>8705</v>
      </c>
    </row>
    <row r="1570" spans="1:3" ht="18" x14ac:dyDescent="0.25">
      <c r="A1570" s="182"/>
      <c r="B1570" s="182" t="s">
        <v>8706</v>
      </c>
      <c r="C1570" s="183"/>
    </row>
    <row r="1571" spans="1:3" x14ac:dyDescent="0.25">
      <c r="A1571" s="62" t="s">
        <v>3909</v>
      </c>
      <c r="B1571" s="63" t="s">
        <v>3910</v>
      </c>
      <c r="C1571" s="79" t="s">
        <v>8707</v>
      </c>
    </row>
    <row r="1572" spans="1:3" ht="18" x14ac:dyDescent="0.25">
      <c r="A1572" s="182"/>
      <c r="B1572" s="182" t="s">
        <v>3911</v>
      </c>
      <c r="C1572" s="183"/>
    </row>
    <row r="1573" spans="1:3" x14ac:dyDescent="0.25">
      <c r="A1573" s="62" t="s">
        <v>3912</v>
      </c>
      <c r="B1573" s="63" t="s">
        <v>3911</v>
      </c>
      <c r="C1573" s="79" t="s">
        <v>8708</v>
      </c>
    </row>
    <row r="1574" spans="1:3" ht="18" x14ac:dyDescent="0.25">
      <c r="A1574" s="182"/>
      <c r="B1574" s="182" t="s">
        <v>8709</v>
      </c>
      <c r="C1574" s="183"/>
    </row>
    <row r="1575" spans="1:3" x14ac:dyDescent="0.25">
      <c r="A1575" s="62" t="s">
        <v>3913</v>
      </c>
      <c r="B1575" s="63" t="s">
        <v>3914</v>
      </c>
      <c r="C1575" s="79" t="s">
        <v>8696</v>
      </c>
    </row>
    <row r="1576" spans="1:3" ht="18" x14ac:dyDescent="0.25">
      <c r="A1576" s="182"/>
      <c r="B1576" s="182" t="s">
        <v>8710</v>
      </c>
      <c r="C1576" s="183"/>
    </row>
    <row r="1577" spans="1:3" x14ac:dyDescent="0.25">
      <c r="A1577" s="62" t="s">
        <v>3915</v>
      </c>
      <c r="B1577" s="63" t="s">
        <v>3916</v>
      </c>
      <c r="C1577" s="79" t="s">
        <v>8711</v>
      </c>
    </row>
    <row r="1578" spans="1:3" x14ac:dyDescent="0.25">
      <c r="A1578" s="62" t="s">
        <v>3917</v>
      </c>
      <c r="B1578" s="63" t="s">
        <v>3918</v>
      </c>
      <c r="C1578" s="79" t="s">
        <v>8712</v>
      </c>
    </row>
    <row r="1579" spans="1:3" ht="18" x14ac:dyDescent="0.25">
      <c r="A1579" s="182"/>
      <c r="B1579" s="182" t="s">
        <v>8713</v>
      </c>
      <c r="C1579" s="183"/>
    </row>
    <row r="1580" spans="1:3" x14ac:dyDescent="0.25">
      <c r="A1580" s="62" t="s">
        <v>3919</v>
      </c>
      <c r="B1580" s="63" t="s">
        <v>3908</v>
      </c>
      <c r="C1580" s="79" t="s">
        <v>8697</v>
      </c>
    </row>
    <row r="1581" spans="1:3" ht="18" x14ac:dyDescent="0.25">
      <c r="A1581" s="182"/>
      <c r="B1581" s="182" t="s">
        <v>8714</v>
      </c>
      <c r="C1581" s="183"/>
    </row>
    <row r="1582" spans="1:3" x14ac:dyDescent="0.25">
      <c r="A1582" s="62" t="s">
        <v>3920</v>
      </c>
      <c r="B1582" s="63" t="s">
        <v>3921</v>
      </c>
      <c r="C1582" s="79" t="s">
        <v>8715</v>
      </c>
    </row>
    <row r="1583" spans="1:3" ht="18" x14ac:dyDescent="0.25">
      <c r="A1583" s="182"/>
      <c r="B1583" s="182" t="s">
        <v>3922</v>
      </c>
      <c r="C1583" s="183"/>
    </row>
    <row r="1584" spans="1:3" x14ac:dyDescent="0.25">
      <c r="A1584" s="62" t="s">
        <v>3923</v>
      </c>
      <c r="B1584" s="63" t="s">
        <v>3922</v>
      </c>
      <c r="C1584" s="79" t="s">
        <v>8716</v>
      </c>
    </row>
    <row r="1585" spans="1:3" ht="18" x14ac:dyDescent="0.25">
      <c r="A1585" s="182"/>
      <c r="B1585" s="182" t="s">
        <v>3924</v>
      </c>
      <c r="C1585" s="183"/>
    </row>
    <row r="1586" spans="1:3" x14ac:dyDescent="0.25">
      <c r="A1586" s="62" t="s">
        <v>3925</v>
      </c>
      <c r="B1586" s="63" t="s">
        <v>3924</v>
      </c>
      <c r="C1586" s="79" t="s">
        <v>8717</v>
      </c>
    </row>
    <row r="1587" spans="1:3" ht="18" x14ac:dyDescent="0.25">
      <c r="A1587" s="182"/>
      <c r="B1587" s="182" t="s">
        <v>8718</v>
      </c>
      <c r="C1587" s="183"/>
    </row>
    <row r="1588" spans="1:3" x14ac:dyDescent="0.25">
      <c r="A1588" s="62" t="s">
        <v>3926</v>
      </c>
      <c r="B1588" s="63" t="s">
        <v>3927</v>
      </c>
      <c r="C1588" s="79" t="s">
        <v>8717</v>
      </c>
    </row>
    <row r="1589" spans="1:3" ht="18" x14ac:dyDescent="0.25">
      <c r="A1589" s="182"/>
      <c r="B1589" s="182" t="s">
        <v>3928</v>
      </c>
      <c r="C1589" s="183"/>
    </row>
    <row r="1590" spans="1:3" x14ac:dyDescent="0.25">
      <c r="A1590" s="62" t="s">
        <v>3929</v>
      </c>
      <c r="B1590" s="63" t="s">
        <v>3928</v>
      </c>
      <c r="C1590" s="79" t="s">
        <v>8719</v>
      </c>
    </row>
    <row r="1591" spans="1:3" ht="18" x14ac:dyDescent="0.25">
      <c r="A1591" s="182"/>
      <c r="B1591" s="182" t="s">
        <v>8720</v>
      </c>
      <c r="C1591" s="183"/>
    </row>
    <row r="1592" spans="1:3" x14ac:dyDescent="0.25">
      <c r="A1592" s="62" t="s">
        <v>3930</v>
      </c>
      <c r="B1592" s="63" t="s">
        <v>3931</v>
      </c>
      <c r="C1592" s="79" t="s">
        <v>8686</v>
      </c>
    </row>
    <row r="1593" spans="1:3" x14ac:dyDescent="0.25">
      <c r="A1593" s="62" t="s">
        <v>3932</v>
      </c>
      <c r="B1593" s="63" t="s">
        <v>3933</v>
      </c>
      <c r="C1593" s="79" t="s">
        <v>8721</v>
      </c>
    </row>
    <row r="1594" spans="1:3" ht="18" x14ac:dyDescent="0.25">
      <c r="A1594" s="182"/>
      <c r="B1594" s="182" t="s">
        <v>3934</v>
      </c>
      <c r="C1594" s="183"/>
    </row>
    <row r="1595" spans="1:3" x14ac:dyDescent="0.25">
      <c r="A1595" s="62" t="s">
        <v>3935</v>
      </c>
      <c r="B1595" s="63" t="s">
        <v>3934</v>
      </c>
      <c r="C1595" s="79" t="s">
        <v>8722</v>
      </c>
    </row>
    <row r="1596" spans="1:3" ht="18" x14ac:dyDescent="0.25">
      <c r="A1596" s="182"/>
      <c r="B1596" s="182" t="s">
        <v>8723</v>
      </c>
      <c r="C1596" s="183"/>
    </row>
    <row r="1597" spans="1:3" x14ac:dyDescent="0.25">
      <c r="A1597" s="62" t="s">
        <v>3936</v>
      </c>
      <c r="B1597" s="63" t="s">
        <v>3937</v>
      </c>
      <c r="C1597" s="79" t="s">
        <v>8724</v>
      </c>
    </row>
    <row r="1598" spans="1:3" ht="18" x14ac:dyDescent="0.25">
      <c r="A1598" s="182"/>
      <c r="B1598" s="182" t="s">
        <v>8725</v>
      </c>
      <c r="C1598" s="183"/>
    </row>
    <row r="1599" spans="1:3" x14ac:dyDescent="0.25">
      <c r="A1599" s="62" t="s">
        <v>3938</v>
      </c>
      <c r="B1599" s="63" t="s">
        <v>3939</v>
      </c>
      <c r="C1599" s="79" t="s">
        <v>8726</v>
      </c>
    </row>
    <row r="1600" spans="1:3" x14ac:dyDescent="0.25">
      <c r="A1600" s="62" t="s">
        <v>3940</v>
      </c>
      <c r="B1600" s="63" t="s">
        <v>3941</v>
      </c>
      <c r="C1600" s="79" t="s">
        <v>8726</v>
      </c>
    </row>
    <row r="1601" spans="1:3" ht="18" x14ac:dyDescent="0.25">
      <c r="A1601" s="182"/>
      <c r="B1601" s="182" t="s">
        <v>8727</v>
      </c>
      <c r="C1601" s="183"/>
    </row>
    <row r="1602" spans="1:3" x14ac:dyDescent="0.25">
      <c r="A1602" s="62" t="s">
        <v>3942</v>
      </c>
      <c r="B1602" s="63" t="s">
        <v>3943</v>
      </c>
      <c r="C1602" s="79" t="s">
        <v>8728</v>
      </c>
    </row>
    <row r="1603" spans="1:3" x14ac:dyDescent="0.25">
      <c r="A1603" s="62" t="s">
        <v>3944</v>
      </c>
      <c r="B1603" s="63" t="s">
        <v>3945</v>
      </c>
      <c r="C1603" s="79" t="s">
        <v>8728</v>
      </c>
    </row>
    <row r="1604" spans="1:3" x14ac:dyDescent="0.25">
      <c r="A1604" s="62" t="s">
        <v>3946</v>
      </c>
      <c r="B1604" s="63" t="s">
        <v>3947</v>
      </c>
      <c r="C1604" s="79" t="s">
        <v>8729</v>
      </c>
    </row>
    <row r="1605" spans="1:3" ht="18" x14ac:dyDescent="0.25">
      <c r="A1605" s="182"/>
      <c r="B1605" s="182" t="s">
        <v>8730</v>
      </c>
      <c r="C1605" s="183"/>
    </row>
    <row r="1606" spans="1:3" x14ac:dyDescent="0.25">
      <c r="A1606" s="62" t="s">
        <v>3948</v>
      </c>
      <c r="B1606" s="63" t="s">
        <v>3949</v>
      </c>
      <c r="C1606" s="79" t="s">
        <v>8672</v>
      </c>
    </row>
    <row r="1607" spans="1:3" ht="18" x14ac:dyDescent="0.25">
      <c r="A1607" s="182"/>
      <c r="B1607" s="182" t="s">
        <v>8731</v>
      </c>
      <c r="C1607" s="183"/>
    </row>
    <row r="1608" spans="1:3" x14ac:dyDescent="0.25">
      <c r="A1608" s="62" t="s">
        <v>3950</v>
      </c>
      <c r="B1608" s="63" t="s">
        <v>3951</v>
      </c>
      <c r="C1608" s="79" t="s">
        <v>8732</v>
      </c>
    </row>
    <row r="1609" spans="1:3" ht="18" x14ac:dyDescent="0.25">
      <c r="A1609" s="182"/>
      <c r="B1609" s="182" t="s">
        <v>8733</v>
      </c>
      <c r="C1609" s="183"/>
    </row>
    <row r="1610" spans="1:3" x14ac:dyDescent="0.25">
      <c r="A1610" s="62" t="s">
        <v>3952</v>
      </c>
      <c r="B1610" s="63" t="s">
        <v>3953</v>
      </c>
      <c r="C1610" s="79" t="s">
        <v>8734</v>
      </c>
    </row>
    <row r="1611" spans="1:3" ht="18" x14ac:dyDescent="0.25">
      <c r="A1611" s="182"/>
      <c r="B1611" s="182" t="s">
        <v>8735</v>
      </c>
      <c r="C1611" s="183"/>
    </row>
    <row r="1612" spans="1:3" ht="31.5" x14ac:dyDescent="0.25">
      <c r="A1612" s="62" t="s">
        <v>3954</v>
      </c>
      <c r="B1612" s="63" t="s">
        <v>3955</v>
      </c>
      <c r="C1612" s="79" t="s">
        <v>8736</v>
      </c>
    </row>
    <row r="1613" spans="1:3" x14ac:dyDescent="0.25">
      <c r="A1613" s="62" t="s">
        <v>3956</v>
      </c>
      <c r="B1613" s="63" t="s">
        <v>3957</v>
      </c>
      <c r="C1613" s="79" t="s">
        <v>8736</v>
      </c>
    </row>
    <row r="1614" spans="1:3" x14ac:dyDescent="0.25">
      <c r="A1614" s="62" t="s">
        <v>3958</v>
      </c>
      <c r="B1614" s="63" t="s">
        <v>3959</v>
      </c>
      <c r="C1614" s="79" t="s">
        <v>8736</v>
      </c>
    </row>
    <row r="1615" spans="1:3" x14ac:dyDescent="0.25">
      <c r="A1615" s="62" t="s">
        <v>3960</v>
      </c>
      <c r="B1615" s="63" t="s">
        <v>3961</v>
      </c>
      <c r="C1615" s="79" t="s">
        <v>8736</v>
      </c>
    </row>
    <row r="1616" spans="1:3" x14ac:dyDescent="0.25">
      <c r="A1616" s="62" t="s">
        <v>3962</v>
      </c>
      <c r="B1616" s="63" t="s">
        <v>3963</v>
      </c>
      <c r="C1616" s="79" t="s">
        <v>8736</v>
      </c>
    </row>
    <row r="1617" spans="1:3" x14ac:dyDescent="0.25">
      <c r="A1617" s="62" t="s">
        <v>3964</v>
      </c>
      <c r="B1617" s="63" t="s">
        <v>3965</v>
      </c>
      <c r="C1617" s="79" t="s">
        <v>8736</v>
      </c>
    </row>
    <row r="1618" spans="1:3" x14ac:dyDescent="0.25">
      <c r="A1618" s="62" t="s">
        <v>3966</v>
      </c>
      <c r="B1618" s="63" t="s">
        <v>3967</v>
      </c>
      <c r="C1618" s="79" t="s">
        <v>8736</v>
      </c>
    </row>
    <row r="1619" spans="1:3" x14ac:dyDescent="0.25">
      <c r="A1619" s="62" t="s">
        <v>3968</v>
      </c>
      <c r="B1619" s="63" t="s">
        <v>3969</v>
      </c>
      <c r="C1619" s="79" t="s">
        <v>8736</v>
      </c>
    </row>
    <row r="1620" spans="1:3" x14ac:dyDescent="0.25">
      <c r="A1620" s="62" t="s">
        <v>3970</v>
      </c>
      <c r="B1620" s="63" t="s">
        <v>3971</v>
      </c>
      <c r="C1620" s="79" t="s">
        <v>8736</v>
      </c>
    </row>
    <row r="1621" spans="1:3" x14ac:dyDescent="0.25">
      <c r="A1621" s="62" t="s">
        <v>3972</v>
      </c>
      <c r="B1621" s="63" t="s">
        <v>3973</v>
      </c>
      <c r="C1621" s="79" t="s">
        <v>8736</v>
      </c>
    </row>
    <row r="1622" spans="1:3" x14ac:dyDescent="0.25">
      <c r="A1622" s="62" t="s">
        <v>3974</v>
      </c>
      <c r="B1622" s="63" t="s">
        <v>3975</v>
      </c>
      <c r="C1622" s="79" t="s">
        <v>8736</v>
      </c>
    </row>
    <row r="1623" spans="1:3" x14ac:dyDescent="0.25">
      <c r="A1623" s="62" t="s">
        <v>3976</v>
      </c>
      <c r="B1623" s="63" t="s">
        <v>3977</v>
      </c>
      <c r="C1623" s="79" t="s">
        <v>8736</v>
      </c>
    </row>
    <row r="1624" spans="1:3" ht="18" x14ac:dyDescent="0.25">
      <c r="A1624" s="182"/>
      <c r="B1624" s="182" t="s">
        <v>8737</v>
      </c>
      <c r="C1624" s="183"/>
    </row>
    <row r="1625" spans="1:3" ht="31.5" x14ac:dyDescent="0.25">
      <c r="A1625" s="62" t="s">
        <v>3978</v>
      </c>
      <c r="B1625" s="63" t="s">
        <v>3979</v>
      </c>
      <c r="C1625" s="79" t="s">
        <v>8738</v>
      </c>
    </row>
    <row r="1626" spans="1:3" ht="18" x14ac:dyDescent="0.25">
      <c r="A1626" s="182"/>
      <c r="B1626" s="182" t="s">
        <v>8739</v>
      </c>
      <c r="C1626" s="183"/>
    </row>
    <row r="1627" spans="1:3" x14ac:dyDescent="0.25">
      <c r="A1627" s="62" t="s">
        <v>3980</v>
      </c>
      <c r="B1627" s="63" t="s">
        <v>3981</v>
      </c>
      <c r="C1627" s="79" t="s">
        <v>8740</v>
      </c>
    </row>
    <row r="1628" spans="1:3" x14ac:dyDescent="0.25">
      <c r="A1628" s="62" t="s">
        <v>3982</v>
      </c>
      <c r="B1628" s="63" t="s">
        <v>3983</v>
      </c>
      <c r="C1628" s="79" t="s">
        <v>8741</v>
      </c>
    </row>
    <row r="1629" spans="1:3" x14ac:dyDescent="0.25">
      <c r="A1629" s="62" t="s">
        <v>3984</v>
      </c>
      <c r="B1629" s="63" t="s">
        <v>3985</v>
      </c>
      <c r="C1629" s="79" t="s">
        <v>8742</v>
      </c>
    </row>
    <row r="1630" spans="1:3" ht="18" x14ac:dyDescent="0.25">
      <c r="A1630" s="182"/>
      <c r="B1630" s="182" t="s">
        <v>8743</v>
      </c>
      <c r="C1630" s="183"/>
    </row>
    <row r="1631" spans="1:3" x14ac:dyDescent="0.25">
      <c r="A1631" s="62" t="s">
        <v>3986</v>
      </c>
      <c r="B1631" s="63" t="s">
        <v>3987</v>
      </c>
      <c r="C1631" s="79" t="s">
        <v>8738</v>
      </c>
    </row>
    <row r="1632" spans="1:3" ht="18" x14ac:dyDescent="0.25">
      <c r="A1632" s="182"/>
      <c r="B1632" s="182" t="s">
        <v>8744</v>
      </c>
      <c r="C1632" s="183"/>
    </row>
    <row r="1633" spans="1:3" x14ac:dyDescent="0.25">
      <c r="A1633" s="62" t="s">
        <v>3988</v>
      </c>
      <c r="B1633" s="63" t="s">
        <v>3989</v>
      </c>
      <c r="C1633" s="79" t="s">
        <v>8676</v>
      </c>
    </row>
    <row r="1634" spans="1:3" ht="18" x14ac:dyDescent="0.25">
      <c r="A1634" s="182"/>
      <c r="B1634" s="182" t="s">
        <v>8745</v>
      </c>
      <c r="C1634" s="183"/>
    </row>
    <row r="1635" spans="1:3" x14ac:dyDescent="0.25">
      <c r="A1635" s="62" t="s">
        <v>3990</v>
      </c>
      <c r="B1635" s="63" t="s">
        <v>3991</v>
      </c>
      <c r="C1635" s="79" t="s">
        <v>8746</v>
      </c>
    </row>
    <row r="1636" spans="1:3" x14ac:dyDescent="0.25">
      <c r="A1636" s="62" t="s">
        <v>3992</v>
      </c>
      <c r="B1636" s="63" t="s">
        <v>3993</v>
      </c>
      <c r="C1636" s="79" t="s">
        <v>8746</v>
      </c>
    </row>
    <row r="1637" spans="1:3" ht="18" x14ac:dyDescent="0.25">
      <c r="A1637" s="182"/>
      <c r="B1637" s="182" t="s">
        <v>3994</v>
      </c>
      <c r="C1637" s="183"/>
    </row>
    <row r="1638" spans="1:3" x14ac:dyDescent="0.25">
      <c r="A1638" s="62" t="s">
        <v>3995</v>
      </c>
      <c r="B1638" s="63" t="s">
        <v>3994</v>
      </c>
      <c r="C1638" s="79" t="s">
        <v>8747</v>
      </c>
    </row>
    <row r="1639" spans="1:3" ht="18" x14ac:dyDescent="0.25">
      <c r="A1639" s="182"/>
      <c r="B1639" s="182" t="s">
        <v>8748</v>
      </c>
      <c r="C1639" s="183"/>
    </row>
    <row r="1640" spans="1:3" x14ac:dyDescent="0.25">
      <c r="A1640" s="62" t="s">
        <v>3996</v>
      </c>
      <c r="B1640" s="63" t="s">
        <v>3997</v>
      </c>
      <c r="C1640" s="79" t="s">
        <v>8749</v>
      </c>
    </row>
    <row r="1641" spans="1:3" x14ac:dyDescent="0.25">
      <c r="A1641" s="62" t="s">
        <v>3998</v>
      </c>
      <c r="B1641" s="63" t="s">
        <v>3999</v>
      </c>
      <c r="C1641" s="79" t="s">
        <v>8750</v>
      </c>
    </row>
    <row r="1642" spans="1:3" ht="18" x14ac:dyDescent="0.25">
      <c r="A1642" s="182"/>
      <c r="B1642" s="182" t="s">
        <v>8751</v>
      </c>
      <c r="C1642" s="183"/>
    </row>
    <row r="1643" spans="1:3" x14ac:dyDescent="0.25">
      <c r="A1643" s="62" t="s">
        <v>4000</v>
      </c>
      <c r="B1643" s="63" t="s">
        <v>4001</v>
      </c>
      <c r="C1643" s="79" t="s">
        <v>8752</v>
      </c>
    </row>
    <row r="1644" spans="1:3" ht="18" x14ac:dyDescent="0.25">
      <c r="A1644" s="182"/>
      <c r="B1644" s="182" t="s">
        <v>8753</v>
      </c>
      <c r="C1644" s="183"/>
    </row>
    <row r="1645" spans="1:3" x14ac:dyDescent="0.25">
      <c r="A1645" s="62" t="s">
        <v>4002</v>
      </c>
      <c r="B1645" s="63" t="s">
        <v>4003</v>
      </c>
      <c r="C1645" s="79" t="s">
        <v>8754</v>
      </c>
    </row>
    <row r="1646" spans="1:3" x14ac:dyDescent="0.25">
      <c r="A1646" s="62" t="s">
        <v>4004</v>
      </c>
      <c r="B1646" s="63" t="s">
        <v>4005</v>
      </c>
      <c r="C1646" s="79" t="s">
        <v>8755</v>
      </c>
    </row>
    <row r="1647" spans="1:3" x14ac:dyDescent="0.25">
      <c r="A1647" s="62" t="s">
        <v>4006</v>
      </c>
      <c r="B1647" s="63" t="s">
        <v>4007</v>
      </c>
      <c r="C1647" s="79" t="s">
        <v>8756</v>
      </c>
    </row>
    <row r="1648" spans="1:3" x14ac:dyDescent="0.25">
      <c r="A1648" s="62" t="s">
        <v>4008</v>
      </c>
      <c r="B1648" s="63" t="s">
        <v>4009</v>
      </c>
      <c r="C1648" s="79" t="s">
        <v>8756</v>
      </c>
    </row>
    <row r="1649" spans="1:3" ht="18" x14ac:dyDescent="0.25">
      <c r="A1649" s="182"/>
      <c r="B1649" s="182" t="s">
        <v>8757</v>
      </c>
      <c r="C1649" s="183"/>
    </row>
    <row r="1650" spans="1:3" x14ac:dyDescent="0.25">
      <c r="A1650" s="62" t="s">
        <v>4010</v>
      </c>
      <c r="B1650" s="63" t="s">
        <v>4011</v>
      </c>
      <c r="C1650" s="79" t="s">
        <v>8705</v>
      </c>
    </row>
    <row r="1651" spans="1:3" ht="18" x14ac:dyDescent="0.25">
      <c r="A1651" s="182"/>
      <c r="B1651" s="182" t="s">
        <v>8758</v>
      </c>
      <c r="C1651" s="183"/>
    </row>
    <row r="1652" spans="1:3" x14ac:dyDescent="0.25">
      <c r="A1652" s="62" t="s">
        <v>4012</v>
      </c>
      <c r="B1652" s="63" t="s">
        <v>4013</v>
      </c>
      <c r="C1652" s="79" t="s">
        <v>8674</v>
      </c>
    </row>
    <row r="1653" spans="1:3" x14ac:dyDescent="0.25">
      <c r="A1653" s="62" t="s">
        <v>4014</v>
      </c>
      <c r="B1653" s="63" t="s">
        <v>4015</v>
      </c>
      <c r="C1653" s="79" t="s">
        <v>8674</v>
      </c>
    </row>
    <row r="1654" spans="1:3" ht="18" x14ac:dyDescent="0.25">
      <c r="A1654" s="182"/>
      <c r="B1654" s="182" t="s">
        <v>8759</v>
      </c>
      <c r="C1654" s="183"/>
    </row>
    <row r="1655" spans="1:3" x14ac:dyDescent="0.25">
      <c r="A1655" s="62" t="s">
        <v>4016</v>
      </c>
      <c r="B1655" s="63" t="s">
        <v>4017</v>
      </c>
      <c r="C1655" s="79" t="s">
        <v>8760</v>
      </c>
    </row>
    <row r="1656" spans="1:3" ht="18" x14ac:dyDescent="0.25">
      <c r="A1656" s="182"/>
      <c r="B1656" s="182" t="s">
        <v>8761</v>
      </c>
      <c r="C1656" s="183"/>
    </row>
    <row r="1657" spans="1:3" x14ac:dyDescent="0.25">
      <c r="A1657" s="62" t="s">
        <v>4018</v>
      </c>
      <c r="B1657" s="63" t="s">
        <v>4019</v>
      </c>
      <c r="C1657" s="79" t="s">
        <v>8674</v>
      </c>
    </row>
    <row r="1658" spans="1:3" ht="18" x14ac:dyDescent="0.25">
      <c r="A1658" s="182"/>
      <c r="B1658" s="182" t="s">
        <v>4020</v>
      </c>
      <c r="C1658" s="183"/>
    </row>
    <row r="1659" spans="1:3" x14ac:dyDescent="0.25">
      <c r="A1659" s="62" t="s">
        <v>4021</v>
      </c>
      <c r="B1659" s="63" t="s">
        <v>4022</v>
      </c>
      <c r="C1659" s="79" t="s">
        <v>8762</v>
      </c>
    </row>
    <row r="1660" spans="1:3" x14ac:dyDescent="0.25">
      <c r="A1660" s="62" t="s">
        <v>4023</v>
      </c>
      <c r="B1660" s="63" t="s">
        <v>4024</v>
      </c>
      <c r="C1660" s="79" t="s">
        <v>8763</v>
      </c>
    </row>
    <row r="1661" spans="1:3" x14ac:dyDescent="0.25">
      <c r="A1661" s="62" t="s">
        <v>4025</v>
      </c>
      <c r="B1661" s="63" t="s">
        <v>4026</v>
      </c>
      <c r="C1661" s="79" t="s">
        <v>8763</v>
      </c>
    </row>
    <row r="1662" spans="1:3" x14ac:dyDescent="0.25">
      <c r="A1662" s="62" t="s">
        <v>4027</v>
      </c>
      <c r="B1662" s="63" t="s">
        <v>4028</v>
      </c>
      <c r="C1662" s="79" t="s">
        <v>8686</v>
      </c>
    </row>
    <row r="1663" spans="1:3" x14ac:dyDescent="0.25">
      <c r="A1663" s="62" t="s">
        <v>4029</v>
      </c>
      <c r="B1663" s="63" t="s">
        <v>4020</v>
      </c>
      <c r="C1663" s="79" t="s">
        <v>8431</v>
      </c>
    </row>
    <row r="1664" spans="1:3" ht="18" x14ac:dyDescent="0.25">
      <c r="A1664" s="182"/>
      <c r="B1664" s="182" t="s">
        <v>8764</v>
      </c>
      <c r="C1664" s="183"/>
    </row>
    <row r="1665" spans="1:3" x14ac:dyDescent="0.25">
      <c r="A1665" s="62" t="s">
        <v>4030</v>
      </c>
      <c r="B1665" s="63" t="s">
        <v>4031</v>
      </c>
      <c r="C1665" s="79" t="s">
        <v>8722</v>
      </c>
    </row>
    <row r="1666" spans="1:3" x14ac:dyDescent="0.25">
      <c r="A1666" s="62" t="s">
        <v>4032</v>
      </c>
      <c r="B1666" s="63" t="s">
        <v>4033</v>
      </c>
      <c r="C1666" s="79" t="s">
        <v>8765</v>
      </c>
    </row>
    <row r="1667" spans="1:3" ht="18" x14ac:dyDescent="0.25">
      <c r="A1667" s="182"/>
      <c r="B1667" s="182" t="s">
        <v>8766</v>
      </c>
      <c r="C1667" s="183"/>
    </row>
    <row r="1668" spans="1:3" x14ac:dyDescent="0.25">
      <c r="A1668" s="62" t="s">
        <v>4034</v>
      </c>
      <c r="B1668" s="63" t="s">
        <v>4035</v>
      </c>
      <c r="C1668" s="79" t="s">
        <v>8767</v>
      </c>
    </row>
    <row r="1669" spans="1:3" x14ac:dyDescent="0.25">
      <c r="A1669" s="62" t="s">
        <v>4036</v>
      </c>
      <c r="B1669" s="63" t="s">
        <v>4037</v>
      </c>
      <c r="C1669" s="79" t="s">
        <v>8767</v>
      </c>
    </row>
    <row r="1670" spans="1:3" x14ac:dyDescent="0.25">
      <c r="A1670" s="62" t="s">
        <v>4038</v>
      </c>
      <c r="B1670" s="63" t="s">
        <v>4039</v>
      </c>
      <c r="C1670" s="79" t="s">
        <v>8767</v>
      </c>
    </row>
    <row r="1671" spans="1:3" x14ac:dyDescent="0.25">
      <c r="A1671" s="62" t="s">
        <v>4040</v>
      </c>
      <c r="B1671" s="63" t="s">
        <v>4041</v>
      </c>
      <c r="C1671" s="79" t="s">
        <v>8767</v>
      </c>
    </row>
    <row r="1672" spans="1:3" x14ac:dyDescent="0.25">
      <c r="A1672" s="62" t="s">
        <v>4042</v>
      </c>
      <c r="B1672" s="63" t="s">
        <v>4043</v>
      </c>
      <c r="C1672" s="79" t="s">
        <v>8767</v>
      </c>
    </row>
    <row r="1673" spans="1:3" ht="18" x14ac:dyDescent="0.25">
      <c r="A1673" s="182"/>
      <c r="B1673" s="182" t="s">
        <v>8768</v>
      </c>
      <c r="C1673" s="183"/>
    </row>
    <row r="1674" spans="1:3" x14ac:dyDescent="0.25">
      <c r="A1674" s="62" t="s">
        <v>4044</v>
      </c>
      <c r="B1674" s="63" t="s">
        <v>4045</v>
      </c>
      <c r="C1674" s="79" t="s">
        <v>8767</v>
      </c>
    </row>
    <row r="1675" spans="1:3" x14ac:dyDescent="0.25">
      <c r="A1675" s="62" t="s">
        <v>4046</v>
      </c>
      <c r="B1675" s="63" t="s">
        <v>4047</v>
      </c>
      <c r="C1675" s="79" t="s">
        <v>8767</v>
      </c>
    </row>
    <row r="1676" spans="1:3" x14ac:dyDescent="0.25">
      <c r="A1676" s="62" t="s">
        <v>4048</v>
      </c>
      <c r="B1676" s="63" t="s">
        <v>4049</v>
      </c>
      <c r="C1676" s="79" t="s">
        <v>8767</v>
      </c>
    </row>
    <row r="1677" spans="1:3" x14ac:dyDescent="0.25">
      <c r="A1677" s="62" t="s">
        <v>4050</v>
      </c>
      <c r="B1677" s="63" t="s">
        <v>4051</v>
      </c>
      <c r="C1677" s="79" t="s">
        <v>8767</v>
      </c>
    </row>
    <row r="1678" spans="1:3" x14ac:dyDescent="0.25">
      <c r="A1678" s="62" t="s">
        <v>4052</v>
      </c>
      <c r="B1678" s="63" t="s">
        <v>4053</v>
      </c>
      <c r="C1678" s="79" t="s">
        <v>8767</v>
      </c>
    </row>
    <row r="1679" spans="1:3" x14ac:dyDescent="0.25">
      <c r="A1679" s="62" t="s">
        <v>4054</v>
      </c>
      <c r="B1679" s="63" t="s">
        <v>4055</v>
      </c>
      <c r="C1679" s="79" t="s">
        <v>8769</v>
      </c>
    </row>
    <row r="1680" spans="1:3" x14ac:dyDescent="0.25">
      <c r="A1680" s="62" t="s">
        <v>4056</v>
      </c>
      <c r="B1680" s="63" t="s">
        <v>4057</v>
      </c>
      <c r="C1680" s="79" t="s">
        <v>8770</v>
      </c>
    </row>
    <row r="1681" spans="1:3" ht="18" x14ac:dyDescent="0.25">
      <c r="A1681" s="182"/>
      <c r="B1681" s="182" t="s">
        <v>8771</v>
      </c>
      <c r="C1681" s="183"/>
    </row>
    <row r="1682" spans="1:3" x14ac:dyDescent="0.25">
      <c r="A1682" s="62" t="s">
        <v>4058</v>
      </c>
      <c r="B1682" s="63" t="s">
        <v>4059</v>
      </c>
      <c r="C1682" s="79" t="s">
        <v>8686</v>
      </c>
    </row>
    <row r="1683" spans="1:3" x14ac:dyDescent="0.25">
      <c r="A1683" s="62" t="s">
        <v>4060</v>
      </c>
      <c r="B1683" s="63" t="s">
        <v>4061</v>
      </c>
      <c r="C1683" s="79" t="s">
        <v>8686</v>
      </c>
    </row>
    <row r="1684" spans="1:3" x14ac:dyDescent="0.25">
      <c r="A1684" s="62" t="s">
        <v>4062</v>
      </c>
      <c r="B1684" s="63" t="s">
        <v>4063</v>
      </c>
      <c r="C1684" s="79" t="s">
        <v>8686</v>
      </c>
    </row>
    <row r="1685" spans="1:3" x14ac:dyDescent="0.25">
      <c r="A1685" s="62" t="s">
        <v>4064</v>
      </c>
      <c r="B1685" s="63" t="s">
        <v>4065</v>
      </c>
      <c r="C1685" s="79" t="s">
        <v>8686</v>
      </c>
    </row>
    <row r="1686" spans="1:3" x14ac:dyDescent="0.25">
      <c r="A1686" s="62" t="s">
        <v>4066</v>
      </c>
      <c r="B1686" s="63" t="s">
        <v>4067</v>
      </c>
      <c r="C1686" s="79" t="s">
        <v>8708</v>
      </c>
    </row>
    <row r="1687" spans="1:3" x14ac:dyDescent="0.25">
      <c r="A1687" s="62" t="s">
        <v>4068</v>
      </c>
      <c r="B1687" s="63" t="s">
        <v>4069</v>
      </c>
      <c r="C1687" s="79" t="s">
        <v>8708</v>
      </c>
    </row>
    <row r="1688" spans="1:3" x14ac:dyDescent="0.25">
      <c r="A1688" s="62" t="s">
        <v>4070</v>
      </c>
      <c r="B1688" s="63" t="s">
        <v>4071</v>
      </c>
      <c r="C1688" s="79" t="s">
        <v>8708</v>
      </c>
    </row>
    <row r="1689" spans="1:3" x14ac:dyDescent="0.25">
      <c r="A1689" s="62" t="s">
        <v>4072</v>
      </c>
      <c r="B1689" s="63" t="s">
        <v>4073</v>
      </c>
      <c r="C1689" s="79" t="s">
        <v>8708</v>
      </c>
    </row>
    <row r="1690" spans="1:3" x14ac:dyDescent="0.25">
      <c r="A1690" s="62" t="s">
        <v>4074</v>
      </c>
      <c r="B1690" s="63" t="s">
        <v>4075</v>
      </c>
      <c r="C1690" s="79" t="s">
        <v>8686</v>
      </c>
    </row>
    <row r="1691" spans="1:3" x14ac:dyDescent="0.25">
      <c r="A1691" s="62" t="s">
        <v>4076</v>
      </c>
      <c r="B1691" s="63" t="s">
        <v>4077</v>
      </c>
      <c r="C1691" s="79" t="s">
        <v>8686</v>
      </c>
    </row>
    <row r="1692" spans="1:3" x14ac:dyDescent="0.25">
      <c r="A1692" s="62" t="s">
        <v>4078</v>
      </c>
      <c r="B1692" s="63" t="s">
        <v>4079</v>
      </c>
      <c r="C1692" s="79" t="s">
        <v>8686</v>
      </c>
    </row>
    <row r="1693" spans="1:3" x14ac:dyDescent="0.25">
      <c r="A1693" s="62" t="s">
        <v>4080</v>
      </c>
      <c r="B1693" s="63" t="s">
        <v>4081</v>
      </c>
      <c r="C1693" s="79" t="s">
        <v>8686</v>
      </c>
    </row>
    <row r="1694" spans="1:3" x14ac:dyDescent="0.25">
      <c r="A1694" s="62" t="s">
        <v>4082</v>
      </c>
      <c r="B1694" s="63" t="s">
        <v>4083</v>
      </c>
      <c r="C1694" s="79" t="s">
        <v>8672</v>
      </c>
    </row>
    <row r="1695" spans="1:3" x14ac:dyDescent="0.25">
      <c r="A1695" s="62" t="s">
        <v>4084</v>
      </c>
      <c r="B1695" s="63" t="s">
        <v>4085</v>
      </c>
      <c r="C1695" s="79" t="s">
        <v>8672</v>
      </c>
    </row>
    <row r="1696" spans="1:3" x14ac:dyDescent="0.25">
      <c r="A1696" s="62" t="s">
        <v>4086</v>
      </c>
      <c r="B1696" s="63" t="s">
        <v>4087</v>
      </c>
      <c r="C1696" s="79" t="s">
        <v>8672</v>
      </c>
    </row>
    <row r="1697" spans="1:3" x14ac:dyDescent="0.25">
      <c r="A1697" s="62" t="s">
        <v>4088</v>
      </c>
      <c r="B1697" s="63" t="s">
        <v>4089</v>
      </c>
      <c r="C1697" s="79" t="s">
        <v>8672</v>
      </c>
    </row>
    <row r="1698" spans="1:3" ht="18" x14ac:dyDescent="0.25">
      <c r="A1698" s="182"/>
      <c r="B1698" s="182" t="s">
        <v>8772</v>
      </c>
      <c r="C1698" s="183"/>
    </row>
    <row r="1699" spans="1:3" x14ac:dyDescent="0.25">
      <c r="A1699" s="62" t="s">
        <v>4090</v>
      </c>
      <c r="B1699" s="63" t="s">
        <v>4091</v>
      </c>
      <c r="C1699" s="79" t="s">
        <v>8773</v>
      </c>
    </row>
    <row r="1700" spans="1:3" x14ac:dyDescent="0.25">
      <c r="A1700" s="62" t="s">
        <v>4092</v>
      </c>
      <c r="B1700" s="63" t="s">
        <v>4093</v>
      </c>
      <c r="C1700" s="79" t="s">
        <v>8773</v>
      </c>
    </row>
    <row r="1701" spans="1:3" x14ac:dyDescent="0.25">
      <c r="A1701" s="62" t="s">
        <v>4094</v>
      </c>
      <c r="B1701" s="63" t="s">
        <v>4095</v>
      </c>
      <c r="C1701" s="79" t="s">
        <v>8773</v>
      </c>
    </row>
    <row r="1702" spans="1:3" x14ac:dyDescent="0.25">
      <c r="A1702" s="62" t="s">
        <v>4096</v>
      </c>
      <c r="B1702" s="63" t="s">
        <v>4097</v>
      </c>
      <c r="C1702" s="79" t="s">
        <v>8773</v>
      </c>
    </row>
    <row r="1703" spans="1:3" x14ac:dyDescent="0.25">
      <c r="A1703" s="62" t="s">
        <v>4098</v>
      </c>
      <c r="B1703" s="63" t="s">
        <v>4099</v>
      </c>
      <c r="C1703" s="79" t="s">
        <v>8774</v>
      </c>
    </row>
    <row r="1704" spans="1:3" x14ac:dyDescent="0.25">
      <c r="A1704" s="62" t="s">
        <v>4100</v>
      </c>
      <c r="B1704" s="63" t="s">
        <v>4101</v>
      </c>
      <c r="C1704" s="79" t="s">
        <v>8722</v>
      </c>
    </row>
    <row r="1705" spans="1:3" x14ac:dyDescent="0.25">
      <c r="A1705" s="62" t="s">
        <v>4102</v>
      </c>
      <c r="B1705" s="63" t="s">
        <v>4103</v>
      </c>
      <c r="C1705" s="79" t="s">
        <v>8765</v>
      </c>
    </row>
    <row r="1706" spans="1:3" ht="18" x14ac:dyDescent="0.25">
      <c r="A1706" s="182"/>
      <c r="B1706" s="182" t="s">
        <v>8775</v>
      </c>
      <c r="C1706" s="183"/>
    </row>
    <row r="1707" spans="1:3" x14ac:dyDescent="0.25">
      <c r="A1707" s="62" t="s">
        <v>4104</v>
      </c>
      <c r="B1707" s="63" t="s">
        <v>4105</v>
      </c>
      <c r="C1707" s="79" t="s">
        <v>8697</v>
      </c>
    </row>
    <row r="1708" spans="1:3" x14ac:dyDescent="0.25">
      <c r="A1708" s="62" t="s">
        <v>4106</v>
      </c>
      <c r="B1708" s="63" t="s">
        <v>4107</v>
      </c>
      <c r="C1708" s="79" t="s">
        <v>8697</v>
      </c>
    </row>
    <row r="1709" spans="1:3" ht="18" x14ac:dyDescent="0.25">
      <c r="A1709" s="182"/>
      <c r="B1709" s="182" t="s">
        <v>8776</v>
      </c>
      <c r="C1709" s="183"/>
    </row>
    <row r="1710" spans="1:3" x14ac:dyDescent="0.25">
      <c r="A1710" s="62" t="s">
        <v>4108</v>
      </c>
      <c r="B1710" s="63" t="s">
        <v>4109</v>
      </c>
      <c r="C1710" s="79" t="s">
        <v>8773</v>
      </c>
    </row>
    <row r="1711" spans="1:3" x14ac:dyDescent="0.25">
      <c r="A1711" s="62" t="s">
        <v>4110</v>
      </c>
      <c r="B1711" s="63" t="s">
        <v>4111</v>
      </c>
      <c r="C1711" s="79" t="s">
        <v>8773</v>
      </c>
    </row>
    <row r="1712" spans="1:3" x14ac:dyDescent="0.25">
      <c r="A1712" s="62" t="s">
        <v>4112</v>
      </c>
      <c r="B1712" s="63" t="s">
        <v>4113</v>
      </c>
      <c r="C1712" s="79" t="s">
        <v>8773</v>
      </c>
    </row>
    <row r="1713" spans="1:3" x14ac:dyDescent="0.25">
      <c r="A1713" s="62" t="s">
        <v>4114</v>
      </c>
      <c r="B1713" s="63" t="s">
        <v>4115</v>
      </c>
      <c r="C1713" s="79" t="s">
        <v>8773</v>
      </c>
    </row>
    <row r="1714" spans="1:3" x14ac:dyDescent="0.25">
      <c r="A1714" s="62" t="s">
        <v>4116</v>
      </c>
      <c r="B1714" s="63" t="s">
        <v>4117</v>
      </c>
      <c r="C1714" s="79" t="s">
        <v>8777</v>
      </c>
    </row>
    <row r="1715" spans="1:3" x14ac:dyDescent="0.25">
      <c r="A1715" s="62" t="s">
        <v>4118</v>
      </c>
      <c r="B1715" s="63" t="s">
        <v>4119</v>
      </c>
      <c r="C1715" s="79" t="s">
        <v>8777</v>
      </c>
    </row>
    <row r="1716" spans="1:3" x14ac:dyDescent="0.25">
      <c r="A1716" s="62" t="s">
        <v>4120</v>
      </c>
      <c r="B1716" s="63" t="s">
        <v>4121</v>
      </c>
      <c r="C1716" s="79" t="s">
        <v>8777</v>
      </c>
    </row>
    <row r="1717" spans="1:3" x14ac:dyDescent="0.25">
      <c r="A1717" s="62" t="s">
        <v>4122</v>
      </c>
      <c r="B1717" s="63" t="s">
        <v>4123</v>
      </c>
      <c r="C1717" s="79" t="s">
        <v>8777</v>
      </c>
    </row>
    <row r="1718" spans="1:3" ht="18" x14ac:dyDescent="0.25">
      <c r="A1718" s="182"/>
      <c r="B1718" s="182" t="s">
        <v>8778</v>
      </c>
      <c r="C1718" s="183"/>
    </row>
    <row r="1719" spans="1:3" x14ac:dyDescent="0.25">
      <c r="A1719" s="62" t="s">
        <v>4124</v>
      </c>
      <c r="B1719" s="63" t="s">
        <v>4125</v>
      </c>
      <c r="C1719" s="79" t="s">
        <v>8774</v>
      </c>
    </row>
    <row r="1720" spans="1:3" x14ac:dyDescent="0.25">
      <c r="A1720" s="62" t="s">
        <v>4126</v>
      </c>
      <c r="B1720" s="63" t="s">
        <v>4127</v>
      </c>
      <c r="C1720" s="79" t="s">
        <v>8774</v>
      </c>
    </row>
    <row r="1721" spans="1:3" x14ac:dyDescent="0.25">
      <c r="A1721" s="62" t="s">
        <v>4128</v>
      </c>
      <c r="B1721" s="63" t="s">
        <v>4129</v>
      </c>
      <c r="C1721" s="79" t="s">
        <v>8774</v>
      </c>
    </row>
    <row r="1722" spans="1:3" ht="18" x14ac:dyDescent="0.25">
      <c r="A1722" s="182"/>
      <c r="B1722" s="182" t="s">
        <v>8779</v>
      </c>
      <c r="C1722" s="183"/>
    </row>
    <row r="1723" spans="1:3" x14ac:dyDescent="0.25">
      <c r="A1723" s="62" t="s">
        <v>4130</v>
      </c>
      <c r="B1723" s="63" t="s">
        <v>4131</v>
      </c>
      <c r="C1723" s="79" t="s">
        <v>8674</v>
      </c>
    </row>
    <row r="1724" spans="1:3" ht="18" x14ac:dyDescent="0.25">
      <c r="A1724" s="182"/>
      <c r="B1724" s="182" t="s">
        <v>8780</v>
      </c>
      <c r="C1724" s="183"/>
    </row>
    <row r="1725" spans="1:3" x14ac:dyDescent="0.25">
      <c r="A1725" s="62" t="s">
        <v>4132</v>
      </c>
      <c r="B1725" s="63" t="s">
        <v>4133</v>
      </c>
      <c r="C1725" s="79" t="s">
        <v>8698</v>
      </c>
    </row>
    <row r="1726" spans="1:3" x14ac:dyDescent="0.25">
      <c r="A1726" s="62" t="s">
        <v>4134</v>
      </c>
      <c r="B1726" s="63" t="s">
        <v>4135</v>
      </c>
      <c r="C1726" s="79" t="s">
        <v>8698</v>
      </c>
    </row>
    <row r="1727" spans="1:3" ht="18" x14ac:dyDescent="0.25">
      <c r="A1727" s="182"/>
      <c r="B1727" s="182" t="s">
        <v>8781</v>
      </c>
      <c r="C1727" s="183"/>
    </row>
    <row r="1728" spans="1:3" x14ac:dyDescent="0.25">
      <c r="A1728" s="62" t="s">
        <v>4136</v>
      </c>
      <c r="B1728" s="63" t="s">
        <v>4137</v>
      </c>
      <c r="C1728" s="79" t="s">
        <v>8696</v>
      </c>
    </row>
    <row r="1729" spans="1:3" ht="18" x14ac:dyDescent="0.25">
      <c r="A1729" s="182"/>
      <c r="B1729" s="182" t="s">
        <v>8782</v>
      </c>
      <c r="C1729" s="183"/>
    </row>
    <row r="1730" spans="1:3" x14ac:dyDescent="0.25">
      <c r="A1730" s="62" t="s">
        <v>4138</v>
      </c>
      <c r="B1730" s="63" t="s">
        <v>4139</v>
      </c>
      <c r="C1730" s="79" t="s">
        <v>8783</v>
      </c>
    </row>
    <row r="1731" spans="1:3" ht="18" x14ac:dyDescent="0.25">
      <c r="A1731" s="182"/>
      <c r="B1731" s="182" t="s">
        <v>8784</v>
      </c>
      <c r="C1731" s="183"/>
    </row>
    <row r="1732" spans="1:3" x14ac:dyDescent="0.25">
      <c r="A1732" s="62" t="s">
        <v>4140</v>
      </c>
      <c r="B1732" s="63" t="s">
        <v>4141</v>
      </c>
      <c r="C1732" s="79" t="s">
        <v>8715</v>
      </c>
    </row>
    <row r="1733" spans="1:3" ht="18" x14ac:dyDescent="0.25">
      <c r="A1733" s="182"/>
      <c r="B1733" s="182" t="s">
        <v>8785</v>
      </c>
      <c r="C1733" s="183"/>
    </row>
    <row r="1734" spans="1:3" x14ac:dyDescent="0.25">
      <c r="A1734" s="62" t="s">
        <v>4142</v>
      </c>
      <c r="B1734" s="63" t="s">
        <v>4143</v>
      </c>
      <c r="C1734" s="79" t="s">
        <v>8786</v>
      </c>
    </row>
    <row r="1735" spans="1:3" x14ac:dyDescent="0.25">
      <c r="A1735" s="62" t="s">
        <v>4144</v>
      </c>
      <c r="B1735" s="63" t="s">
        <v>4145</v>
      </c>
      <c r="C1735" s="79" t="s">
        <v>8763</v>
      </c>
    </row>
    <row r="1736" spans="1:3" x14ac:dyDescent="0.25">
      <c r="A1736" s="62" t="s">
        <v>4146</v>
      </c>
      <c r="B1736" s="63" t="s">
        <v>4147</v>
      </c>
      <c r="C1736" s="79" t="s">
        <v>8787</v>
      </c>
    </row>
    <row r="1737" spans="1:3" x14ac:dyDescent="0.25">
      <c r="A1737" s="62" t="s">
        <v>4148</v>
      </c>
      <c r="B1737" s="63" t="s">
        <v>4149</v>
      </c>
      <c r="C1737" s="79" t="s">
        <v>8788</v>
      </c>
    </row>
    <row r="1738" spans="1:3" x14ac:dyDescent="0.25">
      <c r="A1738" s="62" t="s">
        <v>4150</v>
      </c>
      <c r="B1738" s="63" t="s">
        <v>4151</v>
      </c>
      <c r="C1738" s="79" t="s">
        <v>8788</v>
      </c>
    </row>
    <row r="1739" spans="1:3" x14ac:dyDescent="0.25">
      <c r="A1739" s="62" t="s">
        <v>4152</v>
      </c>
      <c r="B1739" s="63" t="s">
        <v>4153</v>
      </c>
      <c r="C1739" s="79" t="s">
        <v>8686</v>
      </c>
    </row>
    <row r="1740" spans="1:3" x14ac:dyDescent="0.25">
      <c r="A1740" s="62" t="s">
        <v>4154</v>
      </c>
      <c r="B1740" s="63" t="s">
        <v>4155</v>
      </c>
      <c r="C1740" s="79" t="s">
        <v>8789</v>
      </c>
    </row>
    <row r="1741" spans="1:3" x14ac:dyDescent="0.25">
      <c r="A1741" s="62" t="s">
        <v>4156</v>
      </c>
      <c r="B1741" s="63" t="s">
        <v>4157</v>
      </c>
      <c r="C1741" s="79" t="s">
        <v>8789</v>
      </c>
    </row>
    <row r="1742" spans="1:3" x14ac:dyDescent="0.25">
      <c r="A1742" s="62" t="s">
        <v>4158</v>
      </c>
      <c r="B1742" s="63" t="s">
        <v>4159</v>
      </c>
      <c r="C1742" s="79" t="s">
        <v>8790</v>
      </c>
    </row>
    <row r="1743" spans="1:3" x14ac:dyDescent="0.25">
      <c r="A1743" s="62" t="s">
        <v>4160</v>
      </c>
      <c r="B1743" s="63" t="s">
        <v>4161</v>
      </c>
      <c r="C1743" s="79" t="s">
        <v>8790</v>
      </c>
    </row>
    <row r="1744" spans="1:3" ht="18" x14ac:dyDescent="0.25">
      <c r="A1744" s="182"/>
      <c r="B1744" s="182" t="s">
        <v>8791</v>
      </c>
      <c r="C1744" s="183"/>
    </row>
    <row r="1745" spans="1:3" x14ac:dyDescent="0.25">
      <c r="A1745" s="62" t="s">
        <v>4162</v>
      </c>
      <c r="B1745" s="63" t="s">
        <v>4163</v>
      </c>
      <c r="C1745" s="79" t="s">
        <v>8792</v>
      </c>
    </row>
    <row r="1746" spans="1:3" ht="18" x14ac:dyDescent="0.25">
      <c r="A1746" s="182"/>
      <c r="B1746" s="182" t="s">
        <v>8793</v>
      </c>
      <c r="C1746" s="183"/>
    </row>
    <row r="1747" spans="1:3" ht="47.25" x14ac:dyDescent="0.25">
      <c r="A1747" s="62" t="s">
        <v>4164</v>
      </c>
      <c r="B1747" s="63" t="s">
        <v>4165</v>
      </c>
      <c r="C1747" s="79" t="s">
        <v>8409</v>
      </c>
    </row>
    <row r="1748" spans="1:3" ht="18" x14ac:dyDescent="0.25">
      <c r="A1748" s="182"/>
      <c r="B1748" s="182" t="s">
        <v>8794</v>
      </c>
      <c r="C1748" s="183"/>
    </row>
    <row r="1749" spans="1:3" x14ac:dyDescent="0.25">
      <c r="A1749" s="62" t="s">
        <v>4166</v>
      </c>
      <c r="B1749" s="63" t="s">
        <v>4167</v>
      </c>
      <c r="C1749" s="79" t="s">
        <v>8795</v>
      </c>
    </row>
    <row r="1750" spans="1:3" ht="18" x14ac:dyDescent="0.25">
      <c r="A1750" s="182"/>
      <c r="B1750" s="182" t="s">
        <v>8796</v>
      </c>
      <c r="C1750" s="183"/>
    </row>
    <row r="1751" spans="1:3" x14ac:dyDescent="0.25">
      <c r="A1751" s="62" t="s">
        <v>4168</v>
      </c>
      <c r="B1751" s="63" t="s">
        <v>4169</v>
      </c>
      <c r="C1751" s="79" t="s">
        <v>8732</v>
      </c>
    </row>
    <row r="1752" spans="1:3" ht="18" x14ac:dyDescent="0.25">
      <c r="A1752" s="182"/>
      <c r="B1752" s="182" t="s">
        <v>4170</v>
      </c>
      <c r="C1752" s="183"/>
    </row>
    <row r="1753" spans="1:3" x14ac:dyDescent="0.25">
      <c r="A1753" s="62" t="s">
        <v>4171</v>
      </c>
      <c r="B1753" s="63" t="s">
        <v>4170</v>
      </c>
      <c r="C1753" s="79" t="s">
        <v>8686</v>
      </c>
    </row>
    <row r="1754" spans="1:3" ht="18" x14ac:dyDescent="0.25">
      <c r="A1754" s="182"/>
      <c r="B1754" s="182" t="s">
        <v>8797</v>
      </c>
      <c r="C1754" s="183"/>
    </row>
    <row r="1755" spans="1:3" x14ac:dyDescent="0.25">
      <c r="A1755" s="62" t="s">
        <v>4172</v>
      </c>
      <c r="B1755" s="63" t="s">
        <v>4173</v>
      </c>
      <c r="C1755" s="79" t="s">
        <v>8696</v>
      </c>
    </row>
    <row r="1756" spans="1:3" ht="18" x14ac:dyDescent="0.25">
      <c r="A1756" s="182"/>
      <c r="B1756" s="182" t="s">
        <v>4174</v>
      </c>
      <c r="C1756" s="183"/>
    </row>
    <row r="1757" spans="1:3" x14ac:dyDescent="0.25">
      <c r="A1757" s="62" t="s">
        <v>4175</v>
      </c>
      <c r="B1757" s="63" t="s">
        <v>4174</v>
      </c>
      <c r="C1757" s="79" t="s">
        <v>8672</v>
      </c>
    </row>
    <row r="1758" spans="1:3" ht="18" x14ac:dyDescent="0.25">
      <c r="A1758" s="182"/>
      <c r="B1758" s="182" t="s">
        <v>8798</v>
      </c>
      <c r="C1758" s="183"/>
    </row>
    <row r="1759" spans="1:3" x14ac:dyDescent="0.25">
      <c r="A1759" s="62" t="s">
        <v>4176</v>
      </c>
      <c r="B1759" s="63" t="s">
        <v>4177</v>
      </c>
      <c r="C1759" s="79" t="s">
        <v>8732</v>
      </c>
    </row>
    <row r="1760" spans="1:3" ht="18" x14ac:dyDescent="0.25">
      <c r="A1760" s="182"/>
      <c r="B1760" s="182" t="s">
        <v>8799</v>
      </c>
      <c r="C1760" s="183"/>
    </row>
    <row r="1761" spans="1:3" x14ac:dyDescent="0.25">
      <c r="A1761" s="62" t="s">
        <v>4178</v>
      </c>
      <c r="B1761" s="63" t="s">
        <v>4179</v>
      </c>
      <c r="C1761" s="79" t="s">
        <v>8800</v>
      </c>
    </row>
    <row r="1762" spans="1:3" ht="18" x14ac:dyDescent="0.25">
      <c r="A1762" s="182"/>
      <c r="B1762" s="182" t="s">
        <v>8801</v>
      </c>
      <c r="C1762" s="183"/>
    </row>
    <row r="1763" spans="1:3" x14ac:dyDescent="0.25">
      <c r="A1763" s="62" t="s">
        <v>4180</v>
      </c>
      <c r="B1763" s="63" t="s">
        <v>4181</v>
      </c>
      <c r="C1763" s="79" t="s">
        <v>8686</v>
      </c>
    </row>
    <row r="1764" spans="1:3" x14ac:dyDescent="0.25">
      <c r="A1764" s="62" t="s">
        <v>4182</v>
      </c>
      <c r="B1764" s="63" t="s">
        <v>4183</v>
      </c>
      <c r="C1764" s="79" t="s">
        <v>8686</v>
      </c>
    </row>
    <row r="1765" spans="1:3" x14ac:dyDescent="0.25">
      <c r="A1765" s="62" t="s">
        <v>4184</v>
      </c>
      <c r="B1765" s="63" t="s">
        <v>4185</v>
      </c>
      <c r="C1765" s="79" t="s">
        <v>8686</v>
      </c>
    </row>
    <row r="1766" spans="1:3" ht="18" x14ac:dyDescent="0.25">
      <c r="A1766" s="182"/>
      <c r="B1766" s="182" t="s">
        <v>8802</v>
      </c>
      <c r="C1766" s="183"/>
    </row>
    <row r="1767" spans="1:3" x14ac:dyDescent="0.25">
      <c r="A1767" s="62" t="s">
        <v>4186</v>
      </c>
      <c r="B1767" s="63" t="s">
        <v>4187</v>
      </c>
      <c r="C1767" s="79" t="s">
        <v>8803</v>
      </c>
    </row>
    <row r="1768" spans="1:3" ht="18" x14ac:dyDescent="0.25">
      <c r="A1768" s="182"/>
      <c r="B1768" s="182" t="s">
        <v>8804</v>
      </c>
      <c r="C1768" s="183"/>
    </row>
    <row r="1769" spans="1:3" x14ac:dyDescent="0.25">
      <c r="A1769" s="62" t="s">
        <v>4188</v>
      </c>
      <c r="B1769" s="63" t="s">
        <v>4189</v>
      </c>
      <c r="C1769" s="79" t="s">
        <v>8805</v>
      </c>
    </row>
    <row r="1770" spans="1:3" ht="18" x14ac:dyDescent="0.25">
      <c r="A1770" s="182"/>
      <c r="B1770" s="182" t="s">
        <v>8806</v>
      </c>
      <c r="C1770" s="183"/>
    </row>
    <row r="1771" spans="1:3" x14ac:dyDescent="0.25">
      <c r="A1771" s="62" t="s">
        <v>4190</v>
      </c>
      <c r="B1771" s="63" t="s">
        <v>4191</v>
      </c>
      <c r="C1771" s="79" t="s">
        <v>8697</v>
      </c>
    </row>
    <row r="1772" spans="1:3" x14ac:dyDescent="0.25">
      <c r="A1772" s="62" t="s">
        <v>4192</v>
      </c>
      <c r="B1772" s="63" t="s">
        <v>4193</v>
      </c>
      <c r="C1772" s="79" t="s">
        <v>8697</v>
      </c>
    </row>
    <row r="1773" spans="1:3" ht="18" x14ac:dyDescent="0.25">
      <c r="A1773" s="182"/>
      <c r="B1773" s="182" t="s">
        <v>8807</v>
      </c>
      <c r="C1773" s="183"/>
    </row>
    <row r="1774" spans="1:3" x14ac:dyDescent="0.25">
      <c r="A1774" s="62" t="s">
        <v>4194</v>
      </c>
      <c r="B1774" s="63" t="s">
        <v>4195</v>
      </c>
      <c r="C1774" s="79" t="s">
        <v>8722</v>
      </c>
    </row>
    <row r="1775" spans="1:3" ht="18" x14ac:dyDescent="0.25">
      <c r="A1775" s="182"/>
      <c r="B1775" s="182" t="s">
        <v>8808</v>
      </c>
      <c r="C1775" s="183"/>
    </row>
    <row r="1776" spans="1:3" x14ac:dyDescent="0.25">
      <c r="A1776" s="62" t="s">
        <v>4196</v>
      </c>
      <c r="B1776" s="63" t="s">
        <v>4197</v>
      </c>
      <c r="C1776" s="79" t="s">
        <v>8674</v>
      </c>
    </row>
    <row r="1777" spans="1:3" ht="18" x14ac:dyDescent="0.25">
      <c r="A1777" s="182"/>
      <c r="B1777" s="182" t="s">
        <v>8809</v>
      </c>
      <c r="C1777" s="183"/>
    </row>
    <row r="1778" spans="1:3" x14ac:dyDescent="0.25">
      <c r="A1778" s="62" t="s">
        <v>4198</v>
      </c>
      <c r="B1778" s="63" t="s">
        <v>4199</v>
      </c>
      <c r="C1778" s="79" t="s">
        <v>8732</v>
      </c>
    </row>
    <row r="1779" spans="1:3" ht="18" x14ac:dyDescent="0.25">
      <c r="A1779" s="182"/>
      <c r="B1779" s="182" t="s">
        <v>8810</v>
      </c>
      <c r="C1779" s="183"/>
    </row>
    <row r="1780" spans="1:3" x14ac:dyDescent="0.25">
      <c r="A1780" s="62" t="s">
        <v>4200</v>
      </c>
      <c r="B1780" s="63" t="s">
        <v>4201</v>
      </c>
      <c r="C1780" s="79" t="s">
        <v>8811</v>
      </c>
    </row>
    <row r="1781" spans="1:3" x14ac:dyDescent="0.25">
      <c r="A1781" s="62" t="s">
        <v>4202</v>
      </c>
      <c r="B1781" s="63" t="s">
        <v>4203</v>
      </c>
      <c r="C1781" s="79" t="s">
        <v>8812</v>
      </c>
    </row>
    <row r="1782" spans="1:3" x14ac:dyDescent="0.25">
      <c r="A1782" s="62" t="s">
        <v>4204</v>
      </c>
      <c r="B1782" s="63" t="s">
        <v>4205</v>
      </c>
      <c r="C1782" s="79" t="s">
        <v>8684</v>
      </c>
    </row>
    <row r="1783" spans="1:3" x14ac:dyDescent="0.25">
      <c r="A1783" s="62" t="s">
        <v>4206</v>
      </c>
      <c r="B1783" s="63" t="s">
        <v>4207</v>
      </c>
      <c r="C1783" s="79" t="s">
        <v>8765</v>
      </c>
    </row>
    <row r="1784" spans="1:3" x14ac:dyDescent="0.25">
      <c r="A1784" s="62" t="s">
        <v>4208</v>
      </c>
      <c r="B1784" s="63" t="s">
        <v>4209</v>
      </c>
      <c r="C1784" s="79" t="s">
        <v>8813</v>
      </c>
    </row>
    <row r="1785" spans="1:3" x14ac:dyDescent="0.25">
      <c r="A1785" s="62" t="s">
        <v>4210</v>
      </c>
      <c r="B1785" s="63" t="s">
        <v>4211</v>
      </c>
      <c r="C1785" s="79" t="s">
        <v>8765</v>
      </c>
    </row>
    <row r="1786" spans="1:3" ht="18" x14ac:dyDescent="0.25">
      <c r="A1786" s="182"/>
      <c r="B1786" s="182" t="s">
        <v>8814</v>
      </c>
      <c r="C1786" s="183"/>
    </row>
    <row r="1787" spans="1:3" x14ac:dyDescent="0.25">
      <c r="A1787" s="62" t="s">
        <v>4212</v>
      </c>
      <c r="B1787" s="63" t="s">
        <v>4213</v>
      </c>
      <c r="C1787" s="79" t="s">
        <v>8815</v>
      </c>
    </row>
    <row r="1788" spans="1:3" ht="18" x14ac:dyDescent="0.25">
      <c r="A1788" s="182"/>
      <c r="B1788" s="182" t="s">
        <v>8816</v>
      </c>
      <c r="C1788" s="183"/>
    </row>
    <row r="1789" spans="1:3" x14ac:dyDescent="0.25">
      <c r="A1789" s="62" t="s">
        <v>4214</v>
      </c>
      <c r="B1789" s="63" t="s">
        <v>4215</v>
      </c>
      <c r="C1789" s="79" t="s">
        <v>8696</v>
      </c>
    </row>
    <row r="1790" spans="1:3" ht="18" x14ac:dyDescent="0.25">
      <c r="A1790" s="182"/>
      <c r="B1790" s="182" t="s">
        <v>8817</v>
      </c>
      <c r="C1790" s="183"/>
    </row>
    <row r="1791" spans="1:3" x14ac:dyDescent="0.25">
      <c r="A1791" s="62" t="s">
        <v>4216</v>
      </c>
      <c r="B1791" s="63" t="s">
        <v>4217</v>
      </c>
      <c r="C1791" s="79" t="s">
        <v>8698</v>
      </c>
    </row>
    <row r="1792" spans="1:3" x14ac:dyDescent="0.25">
      <c r="A1792" s="62" t="s">
        <v>4218</v>
      </c>
      <c r="B1792" s="63" t="s">
        <v>4219</v>
      </c>
      <c r="C1792" s="79" t="s">
        <v>8786</v>
      </c>
    </row>
    <row r="1793" spans="1:3" x14ac:dyDescent="0.25">
      <c r="A1793" s="62" t="s">
        <v>4220</v>
      </c>
      <c r="B1793" s="63" t="s">
        <v>4221</v>
      </c>
      <c r="C1793" s="79" t="s">
        <v>8818</v>
      </c>
    </row>
    <row r="1794" spans="1:3" x14ac:dyDescent="0.25">
      <c r="A1794" s="62" t="s">
        <v>4222</v>
      </c>
      <c r="B1794" s="63" t="s">
        <v>4223</v>
      </c>
      <c r="C1794" s="79" t="s">
        <v>8819</v>
      </c>
    </row>
    <row r="1795" spans="1:3" x14ac:dyDescent="0.25">
      <c r="A1795" s="62" t="s">
        <v>4224</v>
      </c>
      <c r="B1795" s="63" t="s">
        <v>4225</v>
      </c>
      <c r="C1795" s="79" t="s">
        <v>8698</v>
      </c>
    </row>
    <row r="1796" spans="1:3" x14ac:dyDescent="0.25">
      <c r="A1796" s="62" t="s">
        <v>4226</v>
      </c>
      <c r="B1796" s="63" t="s">
        <v>4227</v>
      </c>
      <c r="C1796" s="79" t="s">
        <v>8820</v>
      </c>
    </row>
    <row r="1797" spans="1:3" ht="18" x14ac:dyDescent="0.25">
      <c r="A1797" s="182"/>
      <c r="B1797" s="182" t="s">
        <v>8821</v>
      </c>
      <c r="C1797" s="183"/>
    </row>
    <row r="1798" spans="1:3" x14ac:dyDescent="0.25">
      <c r="A1798" s="62" t="s">
        <v>4228</v>
      </c>
      <c r="B1798" s="63" t="s">
        <v>4229</v>
      </c>
      <c r="C1798" s="79" t="s">
        <v>8819</v>
      </c>
    </row>
    <row r="1799" spans="1:3" x14ac:dyDescent="0.25">
      <c r="A1799" s="62" t="s">
        <v>4230</v>
      </c>
      <c r="B1799" s="63" t="s">
        <v>4231</v>
      </c>
      <c r="C1799" s="79" t="s">
        <v>8805</v>
      </c>
    </row>
    <row r="1800" spans="1:3" ht="18" x14ac:dyDescent="0.25">
      <c r="A1800" s="182"/>
      <c r="B1800" s="182" t="s">
        <v>8822</v>
      </c>
      <c r="C1800" s="183"/>
    </row>
    <row r="1801" spans="1:3" x14ac:dyDescent="0.25">
      <c r="A1801" s="62" t="s">
        <v>4232</v>
      </c>
      <c r="B1801" s="63" t="s">
        <v>4233</v>
      </c>
      <c r="C1801" s="79" t="s">
        <v>8819</v>
      </c>
    </row>
    <row r="1802" spans="1:3" x14ac:dyDescent="0.25">
      <c r="A1802" s="62" t="s">
        <v>4234</v>
      </c>
      <c r="B1802" s="63" t="s">
        <v>4235</v>
      </c>
      <c r="C1802" s="79" t="s">
        <v>8812</v>
      </c>
    </row>
    <row r="1803" spans="1:3" x14ac:dyDescent="0.25">
      <c r="A1803" s="62" t="s">
        <v>4236</v>
      </c>
      <c r="B1803" s="63" t="s">
        <v>4237</v>
      </c>
      <c r="C1803" s="79" t="s">
        <v>8812</v>
      </c>
    </row>
    <row r="1804" spans="1:3" x14ac:dyDescent="0.25">
      <c r="A1804" s="62" t="s">
        <v>4238</v>
      </c>
      <c r="B1804" s="63" t="s">
        <v>4239</v>
      </c>
      <c r="C1804" s="79" t="s">
        <v>8812</v>
      </c>
    </row>
    <row r="1805" spans="1:3" x14ac:dyDescent="0.25">
      <c r="A1805" s="62" t="s">
        <v>4240</v>
      </c>
      <c r="B1805" s="63" t="s">
        <v>4241</v>
      </c>
      <c r="C1805" s="79" t="s">
        <v>8812</v>
      </c>
    </row>
    <row r="1806" spans="1:3" x14ac:dyDescent="0.25">
      <c r="A1806" s="62" t="s">
        <v>4242</v>
      </c>
      <c r="B1806" s="63" t="s">
        <v>4243</v>
      </c>
      <c r="C1806" s="79" t="s">
        <v>8823</v>
      </c>
    </row>
    <row r="1807" spans="1:3" x14ac:dyDescent="0.25">
      <c r="A1807" s="62" t="s">
        <v>4244</v>
      </c>
      <c r="B1807" s="63" t="s">
        <v>4245</v>
      </c>
      <c r="C1807" s="79" t="s">
        <v>8770</v>
      </c>
    </row>
    <row r="1808" spans="1:3" x14ac:dyDescent="0.25">
      <c r="A1808" s="62" t="s">
        <v>4246</v>
      </c>
      <c r="B1808" s="63" t="s">
        <v>4247</v>
      </c>
      <c r="C1808" s="79" t="s">
        <v>8824</v>
      </c>
    </row>
    <row r="1809" spans="1:3" x14ac:dyDescent="0.25">
      <c r="A1809" s="62" t="s">
        <v>4248</v>
      </c>
      <c r="B1809" s="63" t="s">
        <v>4249</v>
      </c>
      <c r="C1809" s="79" t="s">
        <v>8699</v>
      </c>
    </row>
    <row r="1810" spans="1:3" x14ac:dyDescent="0.25">
      <c r="A1810" s="62" t="s">
        <v>4250</v>
      </c>
      <c r="B1810" s="63" t="s">
        <v>4251</v>
      </c>
      <c r="C1810" s="79" t="s">
        <v>8674</v>
      </c>
    </row>
    <row r="1811" spans="1:3" x14ac:dyDescent="0.25">
      <c r="A1811" s="62" t="s">
        <v>4252</v>
      </c>
      <c r="B1811" s="63" t="s">
        <v>4253</v>
      </c>
      <c r="C1811" s="79" t="s">
        <v>8783</v>
      </c>
    </row>
    <row r="1812" spans="1:3" x14ac:dyDescent="0.25">
      <c r="A1812" s="62" t="s">
        <v>4254</v>
      </c>
      <c r="B1812" s="63" t="s">
        <v>4255</v>
      </c>
      <c r="C1812" s="79" t="s">
        <v>8674</v>
      </c>
    </row>
    <row r="1813" spans="1:3" x14ac:dyDescent="0.25">
      <c r="A1813" s="62" t="s">
        <v>4256</v>
      </c>
      <c r="B1813" s="63" t="s">
        <v>4257</v>
      </c>
      <c r="C1813" s="79" t="s">
        <v>8674</v>
      </c>
    </row>
    <row r="1814" spans="1:3" x14ac:dyDescent="0.25">
      <c r="A1814" s="62" t="s">
        <v>4258</v>
      </c>
      <c r="B1814" s="63" t="s">
        <v>4259</v>
      </c>
      <c r="C1814" s="79" t="s">
        <v>8674</v>
      </c>
    </row>
    <row r="1815" spans="1:3" x14ac:dyDescent="0.25">
      <c r="A1815" s="62" t="s">
        <v>4260</v>
      </c>
      <c r="B1815" s="63" t="s">
        <v>4261</v>
      </c>
      <c r="C1815" s="79" t="s">
        <v>8674</v>
      </c>
    </row>
    <row r="1816" spans="1:3" ht="31.5" x14ac:dyDescent="0.25">
      <c r="A1816" s="62" t="s">
        <v>4262</v>
      </c>
      <c r="B1816" s="63" t="s">
        <v>4263</v>
      </c>
      <c r="C1816" s="79" t="s">
        <v>8734</v>
      </c>
    </row>
    <row r="1817" spans="1:3" ht="31.5" x14ac:dyDescent="0.25">
      <c r="A1817" s="62" t="s">
        <v>4264</v>
      </c>
      <c r="B1817" s="63" t="s">
        <v>4265</v>
      </c>
      <c r="C1817" s="79" t="s">
        <v>8825</v>
      </c>
    </row>
    <row r="1818" spans="1:3" ht="31.5" x14ac:dyDescent="0.25">
      <c r="A1818" s="62" t="s">
        <v>4266</v>
      </c>
      <c r="B1818" s="63" t="s">
        <v>4267</v>
      </c>
      <c r="C1818" s="79" t="s">
        <v>8741</v>
      </c>
    </row>
    <row r="1819" spans="1:3" x14ac:dyDescent="0.25">
      <c r="A1819" s="62" t="s">
        <v>4268</v>
      </c>
      <c r="B1819" s="63" t="s">
        <v>4269</v>
      </c>
      <c r="C1819" s="79" t="s">
        <v>8702</v>
      </c>
    </row>
    <row r="1820" spans="1:3" x14ac:dyDescent="0.25">
      <c r="A1820" s="62" t="s">
        <v>4270</v>
      </c>
      <c r="B1820" s="63" t="s">
        <v>4271</v>
      </c>
      <c r="C1820" s="79" t="s">
        <v>8700</v>
      </c>
    </row>
    <row r="1821" spans="1:3" x14ac:dyDescent="0.25">
      <c r="A1821" s="62" t="s">
        <v>4272</v>
      </c>
      <c r="B1821" s="63" t="s">
        <v>4273</v>
      </c>
      <c r="C1821" s="79" t="s">
        <v>8826</v>
      </c>
    </row>
    <row r="1822" spans="1:3" x14ac:dyDescent="0.25">
      <c r="A1822" s="62" t="s">
        <v>4274</v>
      </c>
      <c r="B1822" s="63" t="s">
        <v>4275</v>
      </c>
      <c r="C1822" s="79" t="s">
        <v>8716</v>
      </c>
    </row>
    <row r="1823" spans="1:3" x14ac:dyDescent="0.25">
      <c r="A1823" s="62" t="s">
        <v>4276</v>
      </c>
      <c r="B1823" s="63" t="s">
        <v>4277</v>
      </c>
      <c r="C1823" s="79" t="s">
        <v>8826</v>
      </c>
    </row>
    <row r="1824" spans="1:3" x14ac:dyDescent="0.25">
      <c r="A1824" s="62" t="s">
        <v>4278</v>
      </c>
      <c r="B1824" s="63" t="s">
        <v>4279</v>
      </c>
      <c r="C1824" s="79" t="s">
        <v>8826</v>
      </c>
    </row>
    <row r="1825" spans="1:3" x14ac:dyDescent="0.25">
      <c r="A1825" s="62" t="s">
        <v>4280</v>
      </c>
      <c r="B1825" s="63" t="s">
        <v>4281</v>
      </c>
      <c r="C1825" s="79" t="s">
        <v>8716</v>
      </c>
    </row>
    <row r="1826" spans="1:3" x14ac:dyDescent="0.25">
      <c r="A1826" s="62" t="s">
        <v>4282</v>
      </c>
      <c r="B1826" s="63" t="s">
        <v>4283</v>
      </c>
      <c r="C1826" s="79" t="s">
        <v>8813</v>
      </c>
    </row>
    <row r="1827" spans="1:3" x14ac:dyDescent="0.25">
      <c r="A1827" s="62" t="s">
        <v>4284</v>
      </c>
      <c r="B1827" s="63" t="s">
        <v>4285</v>
      </c>
      <c r="C1827" s="79" t="s">
        <v>8819</v>
      </c>
    </row>
    <row r="1828" spans="1:3" x14ac:dyDescent="0.25">
      <c r="A1828" s="62" t="s">
        <v>4286</v>
      </c>
      <c r="B1828" s="63" t="s">
        <v>4287</v>
      </c>
      <c r="C1828" s="79" t="s">
        <v>8742</v>
      </c>
    </row>
    <row r="1829" spans="1:3" x14ac:dyDescent="0.25">
      <c r="A1829" s="62" t="s">
        <v>4288</v>
      </c>
      <c r="B1829" s="63" t="s">
        <v>4289</v>
      </c>
      <c r="C1829" s="79" t="s">
        <v>8827</v>
      </c>
    </row>
    <row r="1830" spans="1:3" x14ac:dyDescent="0.25">
      <c r="A1830" s="62" t="s">
        <v>4290</v>
      </c>
      <c r="B1830" s="63" t="s">
        <v>4291</v>
      </c>
      <c r="C1830" s="79" t="s">
        <v>8824</v>
      </c>
    </row>
    <row r="1831" spans="1:3" x14ac:dyDescent="0.25">
      <c r="A1831" s="62" t="s">
        <v>4292</v>
      </c>
      <c r="B1831" s="63" t="s">
        <v>4293</v>
      </c>
      <c r="C1831" s="79" t="s">
        <v>8819</v>
      </c>
    </row>
    <row r="1832" spans="1:3" x14ac:dyDescent="0.25">
      <c r="A1832" s="62" t="s">
        <v>4294</v>
      </c>
      <c r="B1832" s="63" t="s">
        <v>4295</v>
      </c>
      <c r="C1832" s="79" t="s">
        <v>8824</v>
      </c>
    </row>
    <row r="1833" spans="1:3" x14ac:dyDescent="0.25">
      <c r="A1833" s="62" t="s">
        <v>4296</v>
      </c>
      <c r="B1833" s="63" t="s">
        <v>4297</v>
      </c>
      <c r="C1833" s="79" t="s">
        <v>8819</v>
      </c>
    </row>
    <row r="1834" spans="1:3" ht="31.5" x14ac:dyDescent="0.25">
      <c r="A1834" s="62" t="s">
        <v>4298</v>
      </c>
      <c r="B1834" s="63" t="s">
        <v>4299</v>
      </c>
      <c r="C1834" s="79" t="s">
        <v>8686</v>
      </c>
    </row>
    <row r="1835" spans="1:3" ht="31.5" x14ac:dyDescent="0.25">
      <c r="A1835" s="62" t="s">
        <v>4300</v>
      </c>
      <c r="B1835" s="63" t="s">
        <v>4301</v>
      </c>
      <c r="C1835" s="79" t="s">
        <v>8805</v>
      </c>
    </row>
    <row r="1836" spans="1:3" x14ac:dyDescent="0.25">
      <c r="A1836" s="62" t="s">
        <v>4302</v>
      </c>
      <c r="B1836" s="63" t="s">
        <v>4303</v>
      </c>
      <c r="C1836" s="79" t="s">
        <v>8800</v>
      </c>
    </row>
    <row r="1837" spans="1:3" ht="18" x14ac:dyDescent="0.25">
      <c r="A1837" s="182"/>
      <c r="B1837" s="182" t="s">
        <v>8828</v>
      </c>
      <c r="C1837" s="183"/>
    </row>
    <row r="1838" spans="1:3" x14ac:dyDescent="0.25">
      <c r="A1838" s="62" t="s">
        <v>4304</v>
      </c>
      <c r="B1838" s="63" t="s">
        <v>4305</v>
      </c>
      <c r="C1838" s="79" t="s">
        <v>8829</v>
      </c>
    </row>
    <row r="1839" spans="1:3" x14ac:dyDescent="0.25">
      <c r="A1839" s="62" t="s">
        <v>4306</v>
      </c>
      <c r="B1839" s="63" t="s">
        <v>4307</v>
      </c>
      <c r="C1839" s="79" t="s">
        <v>8829</v>
      </c>
    </row>
    <row r="1840" spans="1:3" ht="18" x14ac:dyDescent="0.25">
      <c r="A1840" s="182"/>
      <c r="B1840" s="182" t="s">
        <v>8830</v>
      </c>
      <c r="C1840" s="183"/>
    </row>
    <row r="1841" spans="1:3" x14ac:dyDescent="0.25">
      <c r="A1841" s="62" t="s">
        <v>4308</v>
      </c>
      <c r="B1841" s="63" t="s">
        <v>4309</v>
      </c>
      <c r="C1841" s="79" t="s">
        <v>8738</v>
      </c>
    </row>
    <row r="1842" spans="1:3" x14ac:dyDescent="0.25">
      <c r="A1842" s="62" t="s">
        <v>4310</v>
      </c>
      <c r="B1842" s="63" t="s">
        <v>4311</v>
      </c>
      <c r="C1842" s="79" t="s">
        <v>8738</v>
      </c>
    </row>
    <row r="1843" spans="1:3" ht="18" x14ac:dyDescent="0.25">
      <c r="A1843" s="182"/>
      <c r="B1843" s="182" t="s">
        <v>8831</v>
      </c>
      <c r="C1843" s="183"/>
    </row>
    <row r="1844" spans="1:3" x14ac:dyDescent="0.25">
      <c r="A1844" s="62" t="s">
        <v>4312</v>
      </c>
      <c r="B1844" s="63" t="s">
        <v>4313</v>
      </c>
      <c r="C1844" s="79" t="s">
        <v>8832</v>
      </c>
    </row>
    <row r="1845" spans="1:3" x14ac:dyDescent="0.25">
      <c r="A1845" s="62" t="s">
        <v>4314</v>
      </c>
      <c r="B1845" s="63" t="s">
        <v>4315</v>
      </c>
      <c r="C1845" s="79" t="s">
        <v>8546</v>
      </c>
    </row>
    <row r="1846" spans="1:3" x14ac:dyDescent="0.25">
      <c r="A1846" s="62" t="s">
        <v>4316</v>
      </c>
      <c r="B1846" s="63" t="s">
        <v>4317</v>
      </c>
      <c r="C1846" s="79" t="s">
        <v>8813</v>
      </c>
    </row>
    <row r="1847" spans="1:3" x14ac:dyDescent="0.25">
      <c r="A1847" s="62" t="s">
        <v>4318</v>
      </c>
      <c r="B1847" s="63" t="s">
        <v>4319</v>
      </c>
      <c r="C1847" s="79" t="s">
        <v>8833</v>
      </c>
    </row>
    <row r="1848" spans="1:3" x14ac:dyDescent="0.25">
      <c r="A1848" s="62" t="s">
        <v>4320</v>
      </c>
      <c r="B1848" s="63" t="s">
        <v>4321</v>
      </c>
      <c r="C1848" s="79" t="s">
        <v>8774</v>
      </c>
    </row>
    <row r="1849" spans="1:3" x14ac:dyDescent="0.25">
      <c r="A1849" s="62" t="s">
        <v>4322</v>
      </c>
      <c r="B1849" s="63" t="s">
        <v>4323</v>
      </c>
      <c r="C1849" s="79" t="s">
        <v>8783</v>
      </c>
    </row>
    <row r="1850" spans="1:3" x14ac:dyDescent="0.25">
      <c r="A1850" s="62" t="s">
        <v>4324</v>
      </c>
      <c r="B1850" s="63" t="s">
        <v>4325</v>
      </c>
      <c r="C1850" s="79" t="s">
        <v>8788</v>
      </c>
    </row>
    <row r="1851" spans="1:3" x14ac:dyDescent="0.25">
      <c r="A1851" s="62" t="s">
        <v>4326</v>
      </c>
      <c r="B1851" s="63" t="s">
        <v>4327</v>
      </c>
      <c r="C1851" s="79" t="s">
        <v>8827</v>
      </c>
    </row>
    <row r="1852" spans="1:3" x14ac:dyDescent="0.25">
      <c r="A1852" s="62" t="s">
        <v>4328</v>
      </c>
      <c r="B1852" s="63" t="s">
        <v>4329</v>
      </c>
      <c r="C1852" s="79" t="s">
        <v>8722</v>
      </c>
    </row>
    <row r="1853" spans="1:3" x14ac:dyDescent="0.25">
      <c r="A1853" s="62" t="s">
        <v>4330</v>
      </c>
      <c r="B1853" s="63" t="s">
        <v>4331</v>
      </c>
      <c r="C1853" s="79" t="s">
        <v>8818</v>
      </c>
    </row>
    <row r="1854" spans="1:3" x14ac:dyDescent="0.25">
      <c r="A1854" s="62" t="s">
        <v>4332</v>
      </c>
      <c r="B1854" s="63" t="s">
        <v>4333</v>
      </c>
      <c r="C1854" s="79" t="s">
        <v>8527</v>
      </c>
    </row>
    <row r="1855" spans="1:3" x14ac:dyDescent="0.25">
      <c r="A1855" s="62" t="s">
        <v>4334</v>
      </c>
      <c r="B1855" s="63" t="s">
        <v>4335</v>
      </c>
      <c r="C1855" s="79" t="s">
        <v>8834</v>
      </c>
    </row>
    <row r="1856" spans="1:3" x14ac:dyDescent="0.25">
      <c r="A1856" s="62" t="s">
        <v>4336</v>
      </c>
      <c r="B1856" s="63" t="s">
        <v>4337</v>
      </c>
      <c r="C1856" s="79" t="s">
        <v>8835</v>
      </c>
    </row>
    <row r="1857" spans="1:3" x14ac:dyDescent="0.25">
      <c r="A1857" s="62" t="s">
        <v>4338</v>
      </c>
      <c r="B1857" s="63" t="s">
        <v>4339</v>
      </c>
      <c r="C1857" s="79" t="s">
        <v>8734</v>
      </c>
    </row>
    <row r="1858" spans="1:3" x14ac:dyDescent="0.25">
      <c r="A1858" s="62" t="s">
        <v>4340</v>
      </c>
      <c r="B1858" s="63" t="s">
        <v>4341</v>
      </c>
      <c r="C1858" s="79" t="s">
        <v>8430</v>
      </c>
    </row>
    <row r="1859" spans="1:3" x14ac:dyDescent="0.25">
      <c r="A1859" s="62" t="s">
        <v>4342</v>
      </c>
      <c r="B1859" s="63" t="s">
        <v>4343</v>
      </c>
      <c r="C1859" s="79" t="s">
        <v>8826</v>
      </c>
    </row>
    <row r="1860" spans="1:3" x14ac:dyDescent="0.25">
      <c r="A1860" s="62" t="s">
        <v>4344</v>
      </c>
      <c r="B1860" s="63" t="s">
        <v>4345</v>
      </c>
      <c r="C1860" s="79" t="s">
        <v>8826</v>
      </c>
    </row>
    <row r="1861" spans="1:3" x14ac:dyDescent="0.25">
      <c r="A1861" s="62" t="s">
        <v>4346</v>
      </c>
      <c r="B1861" s="63" t="s">
        <v>4347</v>
      </c>
      <c r="C1861" s="79" t="s">
        <v>8826</v>
      </c>
    </row>
    <row r="1862" spans="1:3" x14ac:dyDescent="0.25">
      <c r="A1862" s="62" t="s">
        <v>4348</v>
      </c>
      <c r="B1862" s="63" t="s">
        <v>4349</v>
      </c>
      <c r="C1862" s="79" t="s">
        <v>8687</v>
      </c>
    </row>
    <row r="1863" spans="1:3" x14ac:dyDescent="0.25">
      <c r="A1863" s="62" t="s">
        <v>4350</v>
      </c>
      <c r="B1863" s="63" t="s">
        <v>4351</v>
      </c>
      <c r="C1863" s="79" t="s">
        <v>8836</v>
      </c>
    </row>
    <row r="1864" spans="1:3" x14ac:dyDescent="0.25">
      <c r="A1864" s="62" t="s">
        <v>4352</v>
      </c>
      <c r="B1864" s="63" t="s">
        <v>4353</v>
      </c>
      <c r="C1864" s="79" t="s">
        <v>8837</v>
      </c>
    </row>
    <row r="1865" spans="1:3" x14ac:dyDescent="0.25">
      <c r="A1865" s="62" t="s">
        <v>4354</v>
      </c>
      <c r="B1865" s="63" t="s">
        <v>4355</v>
      </c>
      <c r="C1865" s="79" t="s">
        <v>8824</v>
      </c>
    </row>
    <row r="1866" spans="1:3" x14ac:dyDescent="0.25">
      <c r="A1866" s="62" t="s">
        <v>4356</v>
      </c>
      <c r="B1866" s="63" t="s">
        <v>4357</v>
      </c>
      <c r="C1866" s="79" t="s">
        <v>8838</v>
      </c>
    </row>
    <row r="1867" spans="1:3" x14ac:dyDescent="0.25">
      <c r="A1867" s="62" t="s">
        <v>4358</v>
      </c>
      <c r="B1867" s="63" t="s">
        <v>4359</v>
      </c>
      <c r="C1867" s="79" t="s">
        <v>8839</v>
      </c>
    </row>
    <row r="1868" spans="1:3" x14ac:dyDescent="0.25">
      <c r="A1868" s="62" t="s">
        <v>4360</v>
      </c>
      <c r="B1868" s="63" t="s">
        <v>4361</v>
      </c>
      <c r="C1868" s="79" t="s">
        <v>8522</v>
      </c>
    </row>
    <row r="1869" spans="1:3" x14ac:dyDescent="0.25">
      <c r="A1869" s="62" t="s">
        <v>4362</v>
      </c>
      <c r="B1869" s="63" t="s">
        <v>4363</v>
      </c>
      <c r="C1869" s="79" t="s">
        <v>8840</v>
      </c>
    </row>
    <row r="1870" spans="1:3" x14ac:dyDescent="0.25">
      <c r="A1870" s="62" t="s">
        <v>4364</v>
      </c>
      <c r="B1870" s="63" t="s">
        <v>3822</v>
      </c>
      <c r="C1870" s="79" t="s">
        <v>8841</v>
      </c>
    </row>
    <row r="1871" spans="1:3" x14ac:dyDescent="0.25">
      <c r="A1871" s="62" t="s">
        <v>4365</v>
      </c>
      <c r="B1871" s="63" t="s">
        <v>3829</v>
      </c>
      <c r="C1871" s="79" t="s">
        <v>8842</v>
      </c>
    </row>
    <row r="1872" spans="1:3" x14ac:dyDescent="0.25">
      <c r="A1872" s="62" t="s">
        <v>4366</v>
      </c>
      <c r="B1872" s="63" t="s">
        <v>4367</v>
      </c>
      <c r="C1872" s="79" t="s">
        <v>8474</v>
      </c>
    </row>
    <row r="1873" spans="1:3" x14ac:dyDescent="0.25">
      <c r="A1873" s="62" t="s">
        <v>4368</v>
      </c>
      <c r="B1873" s="63" t="s">
        <v>4369</v>
      </c>
      <c r="C1873" s="79" t="s">
        <v>8774</v>
      </c>
    </row>
    <row r="1874" spans="1:3" x14ac:dyDescent="0.25">
      <c r="A1874" s="62" t="s">
        <v>4370</v>
      </c>
      <c r="B1874" s="63" t="s">
        <v>4371</v>
      </c>
      <c r="C1874" s="79" t="s">
        <v>8721</v>
      </c>
    </row>
    <row r="1875" spans="1:3" x14ac:dyDescent="0.25">
      <c r="A1875" s="62" t="s">
        <v>4372</v>
      </c>
      <c r="B1875" s="63" t="s">
        <v>4373</v>
      </c>
      <c r="C1875" s="79" t="s">
        <v>8788</v>
      </c>
    </row>
    <row r="1876" spans="1:3" x14ac:dyDescent="0.25">
      <c r="A1876" s="62" t="s">
        <v>4374</v>
      </c>
      <c r="B1876" s="63" t="s">
        <v>4375</v>
      </c>
      <c r="C1876" s="79" t="s">
        <v>8651</v>
      </c>
    </row>
    <row r="1877" spans="1:3" x14ac:dyDescent="0.25">
      <c r="A1877" s="62" t="s">
        <v>4376</v>
      </c>
      <c r="B1877" s="63" t="s">
        <v>4377</v>
      </c>
      <c r="C1877" s="79" t="s">
        <v>8587</v>
      </c>
    </row>
    <row r="1878" spans="1:3" x14ac:dyDescent="0.25">
      <c r="A1878" s="62" t="s">
        <v>4378</v>
      </c>
      <c r="B1878" s="63" t="s">
        <v>4379</v>
      </c>
      <c r="C1878" s="79" t="s">
        <v>8729</v>
      </c>
    </row>
    <row r="1879" spans="1:3" x14ac:dyDescent="0.25">
      <c r="A1879" s="62" t="s">
        <v>4380</v>
      </c>
      <c r="B1879" s="63" t="s">
        <v>4381</v>
      </c>
      <c r="C1879" s="79" t="s">
        <v>8843</v>
      </c>
    </row>
    <row r="1880" spans="1:3" x14ac:dyDescent="0.25">
      <c r="A1880" s="62" t="s">
        <v>4382</v>
      </c>
      <c r="B1880" s="63" t="s">
        <v>4383</v>
      </c>
      <c r="C1880" s="79" t="s">
        <v>8844</v>
      </c>
    </row>
    <row r="1881" spans="1:3" x14ac:dyDescent="0.25">
      <c r="A1881" s="62" t="s">
        <v>4384</v>
      </c>
      <c r="B1881" s="63" t="s">
        <v>4385</v>
      </c>
      <c r="C1881" s="79" t="s">
        <v>8453</v>
      </c>
    </row>
    <row r="1882" spans="1:3" x14ac:dyDescent="0.25">
      <c r="A1882" s="62" t="s">
        <v>4386</v>
      </c>
      <c r="B1882" s="63" t="s">
        <v>4387</v>
      </c>
      <c r="C1882" s="79" t="s">
        <v>8805</v>
      </c>
    </row>
    <row r="1883" spans="1:3" x14ac:dyDescent="0.25">
      <c r="A1883" s="62" t="s">
        <v>4388</v>
      </c>
      <c r="B1883" s="63" t="s">
        <v>4389</v>
      </c>
      <c r="C1883" s="79" t="s">
        <v>8819</v>
      </c>
    </row>
    <row r="1884" spans="1:3" x14ac:dyDescent="0.25">
      <c r="A1884" s="62" t="s">
        <v>4390</v>
      </c>
      <c r="B1884" s="63" t="s">
        <v>4391</v>
      </c>
      <c r="C1884" s="79" t="s">
        <v>8805</v>
      </c>
    </row>
    <row r="1885" spans="1:3" x14ac:dyDescent="0.25">
      <c r="A1885" s="62" t="s">
        <v>4392</v>
      </c>
      <c r="B1885" s="63" t="s">
        <v>4393</v>
      </c>
      <c r="C1885" s="79" t="s">
        <v>8696</v>
      </c>
    </row>
    <row r="1886" spans="1:3" x14ac:dyDescent="0.25">
      <c r="A1886" s="62" t="s">
        <v>4394</v>
      </c>
      <c r="B1886" s="63" t="s">
        <v>4395</v>
      </c>
      <c r="C1886" s="79" t="s">
        <v>8740</v>
      </c>
    </row>
    <row r="1887" spans="1:3" x14ac:dyDescent="0.25">
      <c r="A1887" s="62" t="s">
        <v>4396</v>
      </c>
      <c r="B1887" s="63" t="s">
        <v>4397</v>
      </c>
      <c r="C1887" s="79" t="s">
        <v>8702</v>
      </c>
    </row>
    <row r="1888" spans="1:3" x14ac:dyDescent="0.25">
      <c r="A1888" s="62" t="s">
        <v>4398</v>
      </c>
      <c r="B1888" s="63" t="s">
        <v>4399</v>
      </c>
      <c r="C1888" s="79" t="s">
        <v>8792</v>
      </c>
    </row>
    <row r="1889" spans="1:3" x14ac:dyDescent="0.25">
      <c r="A1889" s="62" t="s">
        <v>4400</v>
      </c>
      <c r="B1889" s="63" t="s">
        <v>4401</v>
      </c>
      <c r="C1889" s="79" t="s">
        <v>8805</v>
      </c>
    </row>
    <row r="1890" spans="1:3" x14ac:dyDescent="0.25">
      <c r="A1890" s="62" t="s">
        <v>4402</v>
      </c>
      <c r="B1890" s="63" t="s">
        <v>4403</v>
      </c>
      <c r="C1890" s="79" t="s">
        <v>8824</v>
      </c>
    </row>
    <row r="1891" spans="1:3" x14ac:dyDescent="0.25">
      <c r="A1891" s="62" t="s">
        <v>4404</v>
      </c>
      <c r="B1891" s="63" t="s">
        <v>4405</v>
      </c>
      <c r="C1891" s="79" t="s">
        <v>8845</v>
      </c>
    </row>
    <row r="1892" spans="1:3" x14ac:dyDescent="0.25">
      <c r="A1892" s="62" t="s">
        <v>4406</v>
      </c>
      <c r="B1892" s="63" t="s">
        <v>4407</v>
      </c>
      <c r="C1892" s="79" t="s">
        <v>8846</v>
      </c>
    </row>
    <row r="1893" spans="1:3" x14ac:dyDescent="0.25">
      <c r="A1893" s="62" t="s">
        <v>4408</v>
      </c>
      <c r="B1893" s="63" t="s">
        <v>4409</v>
      </c>
      <c r="C1893" s="79" t="s">
        <v>8671</v>
      </c>
    </row>
    <row r="1894" spans="1:3" x14ac:dyDescent="0.25">
      <c r="A1894" s="62" t="s">
        <v>4410</v>
      </c>
      <c r="B1894" s="63" t="s">
        <v>4411</v>
      </c>
      <c r="C1894" s="79" t="s">
        <v>8847</v>
      </c>
    </row>
    <row r="1895" spans="1:3" x14ac:dyDescent="0.25">
      <c r="A1895" s="62" t="s">
        <v>4412</v>
      </c>
      <c r="B1895" s="63" t="s">
        <v>4413</v>
      </c>
      <c r="C1895" s="79" t="s">
        <v>8682</v>
      </c>
    </row>
    <row r="1896" spans="1:3" x14ac:dyDescent="0.25">
      <c r="A1896" s="62" t="s">
        <v>4414</v>
      </c>
      <c r="B1896" s="63" t="s">
        <v>4415</v>
      </c>
      <c r="C1896" s="79" t="s">
        <v>8696</v>
      </c>
    </row>
    <row r="1897" spans="1:3" x14ac:dyDescent="0.25">
      <c r="A1897" s="62" t="s">
        <v>4416</v>
      </c>
      <c r="B1897" s="63" t="s">
        <v>4417</v>
      </c>
      <c r="C1897" s="79" t="s">
        <v>8783</v>
      </c>
    </row>
    <row r="1898" spans="1:3" x14ac:dyDescent="0.25">
      <c r="A1898" s="62" t="s">
        <v>4418</v>
      </c>
      <c r="B1898" s="63" t="s">
        <v>4419</v>
      </c>
      <c r="C1898" s="79" t="s">
        <v>8740</v>
      </c>
    </row>
    <row r="1899" spans="1:3" x14ac:dyDescent="0.25">
      <c r="A1899" s="62" t="s">
        <v>4420</v>
      </c>
      <c r="B1899" s="63" t="s">
        <v>4421</v>
      </c>
      <c r="C1899" s="79" t="s">
        <v>8721</v>
      </c>
    </row>
    <row r="1900" spans="1:3" x14ac:dyDescent="0.25">
      <c r="A1900" s="62" t="s">
        <v>4422</v>
      </c>
      <c r="B1900" s="63" t="s">
        <v>4423</v>
      </c>
      <c r="C1900" s="79" t="s">
        <v>8848</v>
      </c>
    </row>
    <row r="1901" spans="1:3" x14ac:dyDescent="0.25">
      <c r="A1901" s="62" t="s">
        <v>4424</v>
      </c>
      <c r="B1901" s="63" t="s">
        <v>4425</v>
      </c>
      <c r="C1901" s="79" t="s">
        <v>8672</v>
      </c>
    </row>
    <row r="1902" spans="1:3" x14ac:dyDescent="0.25">
      <c r="A1902" s="62" t="s">
        <v>4426</v>
      </c>
      <c r="B1902" s="63" t="s">
        <v>4427</v>
      </c>
      <c r="C1902" s="79" t="s">
        <v>8812</v>
      </c>
    </row>
    <row r="1903" spans="1:3" x14ac:dyDescent="0.25">
      <c r="A1903" s="62" t="s">
        <v>4428</v>
      </c>
      <c r="B1903" s="63" t="s">
        <v>4429</v>
      </c>
      <c r="C1903" s="79" t="s">
        <v>8849</v>
      </c>
    </row>
    <row r="1904" spans="1:3" x14ac:dyDescent="0.25">
      <c r="A1904" s="62" t="s">
        <v>4430</v>
      </c>
      <c r="B1904" s="63" t="s">
        <v>4431</v>
      </c>
      <c r="C1904" s="79" t="s">
        <v>8850</v>
      </c>
    </row>
    <row r="1905" spans="1:3" x14ac:dyDescent="0.25">
      <c r="A1905" s="62" t="s">
        <v>4432</v>
      </c>
      <c r="B1905" s="63" t="s">
        <v>4433</v>
      </c>
      <c r="C1905" s="79" t="s">
        <v>8851</v>
      </c>
    </row>
    <row r="1906" spans="1:3" x14ac:dyDescent="0.25">
      <c r="A1906" s="62" t="s">
        <v>4434</v>
      </c>
      <c r="B1906" s="63" t="s">
        <v>4435</v>
      </c>
      <c r="C1906" s="79" t="s">
        <v>8702</v>
      </c>
    </row>
    <row r="1907" spans="1:3" x14ac:dyDescent="0.25">
      <c r="A1907" s="62" t="s">
        <v>4436</v>
      </c>
      <c r="B1907" s="63" t="s">
        <v>4437</v>
      </c>
      <c r="C1907" s="79" t="s">
        <v>8702</v>
      </c>
    </row>
    <row r="1908" spans="1:3" x14ac:dyDescent="0.25">
      <c r="A1908" s="62" t="s">
        <v>4438</v>
      </c>
      <c r="B1908" s="63" t="s">
        <v>4439</v>
      </c>
      <c r="C1908" s="79" t="s">
        <v>8787</v>
      </c>
    </row>
    <row r="1909" spans="1:3" x14ac:dyDescent="0.25">
      <c r="A1909" s="62" t="s">
        <v>4440</v>
      </c>
      <c r="B1909" s="63" t="s">
        <v>4441</v>
      </c>
      <c r="C1909" s="79" t="s">
        <v>8852</v>
      </c>
    </row>
    <row r="1910" spans="1:3" x14ac:dyDescent="0.25">
      <c r="A1910" s="62" t="s">
        <v>4442</v>
      </c>
      <c r="B1910" s="63" t="s">
        <v>4443</v>
      </c>
      <c r="C1910" s="79" t="s">
        <v>8853</v>
      </c>
    </row>
    <row r="1911" spans="1:3" x14ac:dyDescent="0.25">
      <c r="A1911" s="62" t="s">
        <v>4444</v>
      </c>
      <c r="B1911" s="63" t="s">
        <v>4445</v>
      </c>
      <c r="C1911" s="79" t="s">
        <v>8820</v>
      </c>
    </row>
    <row r="1912" spans="1:3" x14ac:dyDescent="0.25">
      <c r="A1912" s="62" t="s">
        <v>4446</v>
      </c>
      <c r="B1912" s="63" t="s">
        <v>4447</v>
      </c>
      <c r="C1912" s="79" t="s">
        <v>8777</v>
      </c>
    </row>
    <row r="1913" spans="1:3" x14ac:dyDescent="0.25">
      <c r="A1913" s="62" t="s">
        <v>4448</v>
      </c>
      <c r="B1913" s="63" t="s">
        <v>4449</v>
      </c>
      <c r="C1913" s="79" t="s">
        <v>8777</v>
      </c>
    </row>
    <row r="1914" spans="1:3" x14ac:dyDescent="0.25">
      <c r="A1914" s="62" t="s">
        <v>4450</v>
      </c>
      <c r="B1914" s="63" t="s">
        <v>4451</v>
      </c>
      <c r="C1914" s="79" t="s">
        <v>8694</v>
      </c>
    </row>
    <row r="1915" spans="1:3" x14ac:dyDescent="0.25">
      <c r="A1915" s="62" t="s">
        <v>4452</v>
      </c>
      <c r="B1915" s="63" t="s">
        <v>4453</v>
      </c>
      <c r="C1915" s="79" t="s">
        <v>8734</v>
      </c>
    </row>
    <row r="1916" spans="1:3" x14ac:dyDescent="0.25">
      <c r="A1916" s="62" t="s">
        <v>4454</v>
      </c>
      <c r="B1916" s="63" t="s">
        <v>4455</v>
      </c>
      <c r="C1916" s="79" t="s">
        <v>8854</v>
      </c>
    </row>
    <row r="1917" spans="1:3" x14ac:dyDescent="0.25">
      <c r="A1917" s="62" t="s">
        <v>4456</v>
      </c>
      <c r="B1917" s="63" t="s">
        <v>4457</v>
      </c>
      <c r="C1917" s="79" t="s">
        <v>8855</v>
      </c>
    </row>
    <row r="1918" spans="1:3" x14ac:dyDescent="0.25">
      <c r="A1918" s="62" t="s">
        <v>4458</v>
      </c>
      <c r="B1918" s="63" t="s">
        <v>4459</v>
      </c>
      <c r="C1918" s="79" t="s">
        <v>8826</v>
      </c>
    </row>
    <row r="1919" spans="1:3" x14ac:dyDescent="0.25">
      <c r="A1919" s="62" t="s">
        <v>4460</v>
      </c>
      <c r="B1919" s="63" t="s">
        <v>4461</v>
      </c>
      <c r="C1919" s="79" t="s">
        <v>8660</v>
      </c>
    </row>
    <row r="1920" spans="1:3" x14ac:dyDescent="0.25">
      <c r="A1920" s="62" t="s">
        <v>4462</v>
      </c>
      <c r="B1920" s="63" t="s">
        <v>4463</v>
      </c>
      <c r="C1920" s="79" t="s">
        <v>8479</v>
      </c>
    </row>
    <row r="1921" spans="1:3" x14ac:dyDescent="0.25">
      <c r="A1921" s="62" t="s">
        <v>4464</v>
      </c>
      <c r="B1921" s="63" t="s">
        <v>4465</v>
      </c>
      <c r="C1921" s="79" t="s">
        <v>8686</v>
      </c>
    </row>
    <row r="1922" spans="1:3" x14ac:dyDescent="0.25">
      <c r="A1922" s="62" t="s">
        <v>4466</v>
      </c>
      <c r="B1922" s="63" t="s">
        <v>4467</v>
      </c>
      <c r="C1922" s="79" t="s">
        <v>8479</v>
      </c>
    </row>
    <row r="1923" spans="1:3" x14ac:dyDescent="0.25">
      <c r="A1923" s="62" t="s">
        <v>4468</v>
      </c>
      <c r="B1923" s="63" t="s">
        <v>4469</v>
      </c>
      <c r="C1923" s="79" t="s">
        <v>8449</v>
      </c>
    </row>
    <row r="1924" spans="1:3" x14ac:dyDescent="0.25">
      <c r="A1924" s="62" t="s">
        <v>4470</v>
      </c>
      <c r="B1924" s="63" t="s">
        <v>4471</v>
      </c>
      <c r="C1924" s="79" t="s">
        <v>8763</v>
      </c>
    </row>
    <row r="1925" spans="1:3" x14ac:dyDescent="0.25">
      <c r="A1925" s="62" t="s">
        <v>4472</v>
      </c>
      <c r="B1925" s="63" t="s">
        <v>4473</v>
      </c>
      <c r="C1925" s="79" t="s">
        <v>8856</v>
      </c>
    </row>
    <row r="1926" spans="1:3" x14ac:dyDescent="0.25">
      <c r="A1926" s="62" t="s">
        <v>4474</v>
      </c>
      <c r="B1926" s="63" t="s">
        <v>4461</v>
      </c>
      <c r="C1926" s="79" t="s">
        <v>8435</v>
      </c>
    </row>
    <row r="1927" spans="1:3" x14ac:dyDescent="0.25">
      <c r="A1927" s="62" t="s">
        <v>4475</v>
      </c>
      <c r="B1927" s="63" t="s">
        <v>4476</v>
      </c>
      <c r="C1927" s="79" t="s">
        <v>8847</v>
      </c>
    </row>
    <row r="1928" spans="1:3" x14ac:dyDescent="0.25">
      <c r="A1928" s="62" t="s">
        <v>4477</v>
      </c>
      <c r="B1928" s="63" t="s">
        <v>4478</v>
      </c>
      <c r="C1928" s="79" t="s">
        <v>8722</v>
      </c>
    </row>
    <row r="1929" spans="1:3" ht="31.5" x14ac:dyDescent="0.25">
      <c r="A1929" s="62" t="s">
        <v>4479</v>
      </c>
      <c r="B1929" s="63" t="s">
        <v>4480</v>
      </c>
      <c r="C1929" s="79" t="s">
        <v>8857</v>
      </c>
    </row>
    <row r="1930" spans="1:3" ht="31.5" x14ac:dyDescent="0.25">
      <c r="A1930" s="62" t="s">
        <v>4481</v>
      </c>
      <c r="B1930" s="63" t="s">
        <v>4482</v>
      </c>
      <c r="C1930" s="79" t="s">
        <v>8694</v>
      </c>
    </row>
    <row r="1931" spans="1:3" ht="31.5" x14ac:dyDescent="0.25">
      <c r="A1931" s="62" t="s">
        <v>4483</v>
      </c>
      <c r="B1931" s="63" t="s">
        <v>4484</v>
      </c>
      <c r="C1931" s="79" t="s">
        <v>8694</v>
      </c>
    </row>
    <row r="1932" spans="1:3" ht="31.5" x14ac:dyDescent="0.25">
      <c r="A1932" s="62" t="s">
        <v>4485</v>
      </c>
      <c r="B1932" s="63" t="s">
        <v>4486</v>
      </c>
      <c r="C1932" s="79" t="s">
        <v>8697</v>
      </c>
    </row>
    <row r="1933" spans="1:3" ht="31.5" x14ac:dyDescent="0.25">
      <c r="A1933" s="62" t="s">
        <v>4487</v>
      </c>
      <c r="B1933" s="63" t="s">
        <v>4488</v>
      </c>
      <c r="C1933" s="79" t="s">
        <v>8769</v>
      </c>
    </row>
    <row r="1934" spans="1:3" x14ac:dyDescent="0.25">
      <c r="A1934" s="62" t="s">
        <v>4489</v>
      </c>
      <c r="B1934" s="63" t="s">
        <v>4490</v>
      </c>
      <c r="C1934" s="79" t="s">
        <v>8430</v>
      </c>
    </row>
    <row r="1935" spans="1:3" x14ac:dyDescent="0.25">
      <c r="A1935" s="62" t="s">
        <v>4491</v>
      </c>
      <c r="B1935" s="63" t="s">
        <v>4492</v>
      </c>
      <c r="C1935" s="79" t="s">
        <v>8858</v>
      </c>
    </row>
    <row r="1936" spans="1:3" x14ac:dyDescent="0.25">
      <c r="A1936" s="62" t="s">
        <v>4493</v>
      </c>
      <c r="B1936" s="63" t="s">
        <v>4377</v>
      </c>
      <c r="C1936" s="79" t="s">
        <v>8859</v>
      </c>
    </row>
    <row r="1937" spans="1:3" x14ac:dyDescent="0.25">
      <c r="A1937" s="62" t="s">
        <v>4494</v>
      </c>
      <c r="B1937" s="63" t="s">
        <v>4495</v>
      </c>
      <c r="C1937" s="79" t="s">
        <v>8860</v>
      </c>
    </row>
    <row r="1938" spans="1:3" x14ac:dyDescent="0.25">
      <c r="A1938" s="62" t="s">
        <v>4496</v>
      </c>
      <c r="B1938" s="63" t="s">
        <v>4497</v>
      </c>
      <c r="C1938" s="79" t="s">
        <v>8860</v>
      </c>
    </row>
    <row r="1939" spans="1:3" x14ac:dyDescent="0.25">
      <c r="A1939" s="62" t="s">
        <v>4498</v>
      </c>
      <c r="B1939" s="63" t="s">
        <v>4499</v>
      </c>
      <c r="C1939" s="79" t="s">
        <v>8861</v>
      </c>
    </row>
    <row r="1940" spans="1:3" x14ac:dyDescent="0.25">
      <c r="A1940" s="62" t="s">
        <v>4500</v>
      </c>
      <c r="B1940" s="63" t="s">
        <v>4501</v>
      </c>
      <c r="C1940" s="79" t="s">
        <v>8862</v>
      </c>
    </row>
    <row r="1941" spans="1:3" x14ac:dyDescent="0.25">
      <c r="A1941" s="62" t="s">
        <v>4502</v>
      </c>
      <c r="B1941" s="63" t="s">
        <v>4503</v>
      </c>
      <c r="C1941" s="79" t="s">
        <v>8812</v>
      </c>
    </row>
    <row r="1942" spans="1:3" x14ac:dyDescent="0.25">
      <c r="A1942" s="62" t="s">
        <v>4504</v>
      </c>
      <c r="B1942" s="63" t="s">
        <v>4505</v>
      </c>
      <c r="C1942" s="79" t="s">
        <v>8721</v>
      </c>
    </row>
    <row r="1943" spans="1:3" ht="18" x14ac:dyDescent="0.25">
      <c r="A1943" s="182"/>
      <c r="B1943" s="182" t="s">
        <v>8863</v>
      </c>
      <c r="C1943" s="183"/>
    </row>
    <row r="1944" spans="1:3" x14ac:dyDescent="0.25">
      <c r="A1944" s="62" t="s">
        <v>4506</v>
      </c>
      <c r="B1944" s="63" t="s">
        <v>4507</v>
      </c>
      <c r="C1944" s="79" t="s">
        <v>8864</v>
      </c>
    </row>
    <row r="1945" spans="1:3" ht="18" x14ac:dyDescent="0.25">
      <c r="A1945" s="182"/>
      <c r="B1945" s="182" t="s">
        <v>8865</v>
      </c>
      <c r="C1945" s="183"/>
    </row>
    <row r="1946" spans="1:3" x14ac:dyDescent="0.25">
      <c r="A1946" s="62" t="s">
        <v>4508</v>
      </c>
      <c r="B1946" s="63" t="s">
        <v>4509</v>
      </c>
      <c r="C1946" s="79" t="s">
        <v>8698</v>
      </c>
    </row>
    <row r="1947" spans="1:3" ht="18" x14ac:dyDescent="0.25">
      <c r="A1947" s="182"/>
      <c r="B1947" s="182" t="s">
        <v>8866</v>
      </c>
      <c r="C1947" s="183"/>
    </row>
    <row r="1948" spans="1:3" x14ac:dyDescent="0.25">
      <c r="A1948" s="62" t="s">
        <v>4510</v>
      </c>
      <c r="B1948" s="63" t="s">
        <v>4511</v>
      </c>
      <c r="C1948" s="79" t="s">
        <v>8792</v>
      </c>
    </row>
    <row r="1949" spans="1:3" ht="18" x14ac:dyDescent="0.25">
      <c r="A1949" s="182"/>
      <c r="B1949" s="182" t="s">
        <v>8867</v>
      </c>
      <c r="C1949" s="183"/>
    </row>
    <row r="1950" spans="1:3" x14ac:dyDescent="0.25">
      <c r="A1950" s="62" t="s">
        <v>4512</v>
      </c>
      <c r="B1950" s="63" t="s">
        <v>4513</v>
      </c>
      <c r="C1950" s="79" t="s">
        <v>8868</v>
      </c>
    </row>
    <row r="1951" spans="1:3" x14ac:dyDescent="0.25">
      <c r="A1951" s="62" t="s">
        <v>4514</v>
      </c>
      <c r="B1951" s="63" t="s">
        <v>4515</v>
      </c>
      <c r="C1951" s="79" t="s">
        <v>8869</v>
      </c>
    </row>
    <row r="1952" spans="1:3" x14ac:dyDescent="0.25">
      <c r="A1952" s="62" t="s">
        <v>4516</v>
      </c>
      <c r="B1952" s="63" t="s">
        <v>4517</v>
      </c>
      <c r="C1952" s="79" t="s">
        <v>8868</v>
      </c>
    </row>
    <row r="1953" spans="1:3" x14ac:dyDescent="0.25">
      <c r="A1953" s="62" t="s">
        <v>4518</v>
      </c>
      <c r="B1953" s="63" t="s">
        <v>4519</v>
      </c>
      <c r="C1953" s="79" t="s">
        <v>8869</v>
      </c>
    </row>
    <row r="1954" spans="1:3" x14ac:dyDescent="0.25">
      <c r="A1954" s="62" t="s">
        <v>4520</v>
      </c>
      <c r="B1954" s="63" t="s">
        <v>4521</v>
      </c>
      <c r="C1954" s="79" t="s">
        <v>8702</v>
      </c>
    </row>
    <row r="1955" spans="1:3" ht="18" x14ac:dyDescent="0.25">
      <c r="A1955" s="182"/>
      <c r="B1955" s="182" t="s">
        <v>4522</v>
      </c>
      <c r="C1955" s="183"/>
    </row>
    <row r="1956" spans="1:3" x14ac:dyDescent="0.25">
      <c r="A1956" s="62" t="s">
        <v>4523</v>
      </c>
      <c r="B1956" s="63" t="s">
        <v>4522</v>
      </c>
      <c r="C1956" s="79" t="s">
        <v>8857</v>
      </c>
    </row>
    <row r="1957" spans="1:3" ht="18" x14ac:dyDescent="0.25">
      <c r="A1957" s="182"/>
      <c r="B1957" s="182" t="s">
        <v>8870</v>
      </c>
      <c r="C1957" s="183"/>
    </row>
    <row r="1958" spans="1:3" x14ac:dyDescent="0.25">
      <c r="A1958" s="62" t="s">
        <v>4524</v>
      </c>
      <c r="B1958" s="63" t="s">
        <v>4525</v>
      </c>
      <c r="C1958" s="79" t="s">
        <v>8726</v>
      </c>
    </row>
    <row r="1959" spans="1:3" ht="18" x14ac:dyDescent="0.25">
      <c r="A1959" s="182"/>
      <c r="B1959" s="182" t="s">
        <v>8871</v>
      </c>
      <c r="C1959" s="183"/>
    </row>
    <row r="1960" spans="1:3" x14ac:dyDescent="0.25">
      <c r="A1960" s="62" t="s">
        <v>4526</v>
      </c>
      <c r="B1960" s="63" t="s">
        <v>4527</v>
      </c>
      <c r="C1960" s="79" t="s">
        <v>8479</v>
      </c>
    </row>
    <row r="1961" spans="1:3" x14ac:dyDescent="0.25">
      <c r="A1961" s="62" t="s">
        <v>4528</v>
      </c>
      <c r="B1961" s="63" t="s">
        <v>4529</v>
      </c>
      <c r="C1961" s="79" t="s">
        <v>8479</v>
      </c>
    </row>
    <row r="1962" spans="1:3" x14ac:dyDescent="0.25">
      <c r="A1962" s="62" t="s">
        <v>4530</v>
      </c>
      <c r="B1962" s="63" t="s">
        <v>4531</v>
      </c>
      <c r="C1962" s="79" t="s">
        <v>8479</v>
      </c>
    </row>
    <row r="1963" spans="1:3" x14ac:dyDescent="0.25">
      <c r="A1963" s="62" t="s">
        <v>4532</v>
      </c>
      <c r="B1963" s="63" t="s">
        <v>4533</v>
      </c>
      <c r="C1963" s="79" t="s">
        <v>8479</v>
      </c>
    </row>
    <row r="1964" spans="1:3" x14ac:dyDescent="0.25">
      <c r="A1964" s="62" t="s">
        <v>4534</v>
      </c>
      <c r="B1964" s="63" t="s">
        <v>4535</v>
      </c>
      <c r="C1964" s="79" t="s">
        <v>8479</v>
      </c>
    </row>
    <row r="1965" spans="1:3" x14ac:dyDescent="0.25">
      <c r="A1965" s="62" t="s">
        <v>4536</v>
      </c>
      <c r="B1965" s="63" t="s">
        <v>4537</v>
      </c>
      <c r="C1965" s="79" t="s">
        <v>8479</v>
      </c>
    </row>
    <row r="1966" spans="1:3" x14ac:dyDescent="0.25">
      <c r="A1966" s="62" t="s">
        <v>4538</v>
      </c>
      <c r="B1966" s="63" t="s">
        <v>4539</v>
      </c>
      <c r="C1966" s="79" t="s">
        <v>8479</v>
      </c>
    </row>
    <row r="1967" spans="1:3" x14ac:dyDescent="0.25">
      <c r="A1967" s="62" t="s">
        <v>4540</v>
      </c>
      <c r="B1967" s="63" t="s">
        <v>4541</v>
      </c>
      <c r="C1967" s="79" t="s">
        <v>8479</v>
      </c>
    </row>
    <row r="1968" spans="1:3" x14ac:dyDescent="0.25">
      <c r="A1968" s="62" t="s">
        <v>4542</v>
      </c>
      <c r="B1968" s="63" t="s">
        <v>4543</v>
      </c>
      <c r="C1968" s="79" t="s">
        <v>8479</v>
      </c>
    </row>
    <row r="1969" spans="1:3" x14ac:dyDescent="0.25">
      <c r="A1969" s="62" t="s">
        <v>4544</v>
      </c>
      <c r="B1969" s="63" t="s">
        <v>4545</v>
      </c>
      <c r="C1969" s="79" t="s">
        <v>8479</v>
      </c>
    </row>
    <row r="1970" spans="1:3" x14ac:dyDescent="0.25">
      <c r="A1970" s="62" t="s">
        <v>4546</v>
      </c>
      <c r="B1970" s="63" t="s">
        <v>4547</v>
      </c>
      <c r="C1970" s="79" t="s">
        <v>8479</v>
      </c>
    </row>
    <row r="1971" spans="1:3" x14ac:dyDescent="0.25">
      <c r="A1971" s="62" t="s">
        <v>4548</v>
      </c>
      <c r="B1971" s="63" t="s">
        <v>4549</v>
      </c>
      <c r="C1971" s="79" t="s">
        <v>8479</v>
      </c>
    </row>
    <row r="1972" spans="1:3" x14ac:dyDescent="0.25">
      <c r="A1972" s="62" t="s">
        <v>4550</v>
      </c>
      <c r="B1972" s="63" t="s">
        <v>4551</v>
      </c>
      <c r="C1972" s="79" t="s">
        <v>8479</v>
      </c>
    </row>
    <row r="1973" spans="1:3" x14ac:dyDescent="0.25">
      <c r="A1973" s="62" t="s">
        <v>4552</v>
      </c>
      <c r="B1973" s="63" t="s">
        <v>4553</v>
      </c>
      <c r="C1973" s="79" t="s">
        <v>8479</v>
      </c>
    </row>
    <row r="1974" spans="1:3" x14ac:dyDescent="0.25">
      <c r="A1974" s="62" t="s">
        <v>4554</v>
      </c>
      <c r="B1974" s="63" t="s">
        <v>4555</v>
      </c>
      <c r="C1974" s="79" t="s">
        <v>8479</v>
      </c>
    </row>
    <row r="1975" spans="1:3" x14ac:dyDescent="0.25">
      <c r="A1975" s="62" t="s">
        <v>4556</v>
      </c>
      <c r="B1975" s="63" t="s">
        <v>4557</v>
      </c>
      <c r="C1975" s="79" t="s">
        <v>8479</v>
      </c>
    </row>
    <row r="1976" spans="1:3" x14ac:dyDescent="0.25">
      <c r="A1976" s="62" t="s">
        <v>4558</v>
      </c>
      <c r="B1976" s="63" t="s">
        <v>4559</v>
      </c>
      <c r="C1976" s="79" t="s">
        <v>8479</v>
      </c>
    </row>
    <row r="1977" spans="1:3" x14ac:dyDescent="0.25">
      <c r="A1977" s="62" t="s">
        <v>4560</v>
      </c>
      <c r="B1977" s="63" t="s">
        <v>4561</v>
      </c>
      <c r="C1977" s="79" t="s">
        <v>8479</v>
      </c>
    </row>
    <row r="1978" spans="1:3" x14ac:dyDescent="0.25">
      <c r="A1978" s="62" t="s">
        <v>4562</v>
      </c>
      <c r="B1978" s="63" t="s">
        <v>4563</v>
      </c>
      <c r="C1978" s="79" t="s">
        <v>8479</v>
      </c>
    </row>
    <row r="1979" spans="1:3" x14ac:dyDescent="0.25">
      <c r="A1979" s="62" t="s">
        <v>4564</v>
      </c>
      <c r="B1979" s="63" t="s">
        <v>4565</v>
      </c>
      <c r="C1979" s="79" t="s">
        <v>8479</v>
      </c>
    </row>
    <row r="1980" spans="1:3" x14ac:dyDescent="0.25">
      <c r="A1980" s="62" t="s">
        <v>4566</v>
      </c>
      <c r="B1980" s="63" t="s">
        <v>4567</v>
      </c>
      <c r="C1980" s="79" t="s">
        <v>8872</v>
      </c>
    </row>
    <row r="1981" spans="1:3" x14ac:dyDescent="0.25">
      <c r="A1981" s="62" t="s">
        <v>4568</v>
      </c>
      <c r="B1981" s="63" t="s">
        <v>4569</v>
      </c>
      <c r="C1981" s="79" t="s">
        <v>8872</v>
      </c>
    </row>
    <row r="1982" spans="1:3" x14ac:dyDescent="0.25">
      <c r="A1982" s="62" t="s">
        <v>4570</v>
      </c>
      <c r="B1982" s="63" t="s">
        <v>4571</v>
      </c>
      <c r="C1982" s="79" t="s">
        <v>8872</v>
      </c>
    </row>
    <row r="1983" spans="1:3" x14ac:dyDescent="0.25">
      <c r="A1983" s="62" t="s">
        <v>4572</v>
      </c>
      <c r="B1983" s="63" t="s">
        <v>4573</v>
      </c>
      <c r="C1983" s="79" t="s">
        <v>8872</v>
      </c>
    </row>
    <row r="1984" spans="1:3" x14ac:dyDescent="0.25">
      <c r="A1984" s="62" t="s">
        <v>4574</v>
      </c>
      <c r="B1984" s="63" t="s">
        <v>4575</v>
      </c>
      <c r="C1984" s="79" t="s">
        <v>8872</v>
      </c>
    </row>
    <row r="1985" spans="1:3" x14ac:dyDescent="0.25">
      <c r="A1985" s="62" t="s">
        <v>4576</v>
      </c>
      <c r="B1985" s="63" t="s">
        <v>4577</v>
      </c>
      <c r="C1985" s="79" t="s">
        <v>8431</v>
      </c>
    </row>
    <row r="1986" spans="1:3" x14ac:dyDescent="0.25">
      <c r="A1986" s="62" t="s">
        <v>4578</v>
      </c>
      <c r="B1986" s="63" t="s">
        <v>4579</v>
      </c>
      <c r="C1986" s="79" t="s">
        <v>8431</v>
      </c>
    </row>
    <row r="1987" spans="1:3" x14ac:dyDescent="0.25">
      <c r="A1987" s="62" t="s">
        <v>4580</v>
      </c>
      <c r="B1987" s="63" t="s">
        <v>4581</v>
      </c>
      <c r="C1987" s="79" t="s">
        <v>8431</v>
      </c>
    </row>
    <row r="1988" spans="1:3" x14ac:dyDescent="0.25">
      <c r="A1988" s="62" t="s">
        <v>4582</v>
      </c>
      <c r="B1988" s="63" t="s">
        <v>4583</v>
      </c>
      <c r="C1988" s="79" t="s">
        <v>8431</v>
      </c>
    </row>
    <row r="1989" spans="1:3" x14ac:dyDescent="0.25">
      <c r="A1989" s="62" t="s">
        <v>4584</v>
      </c>
      <c r="B1989" s="63" t="s">
        <v>4585</v>
      </c>
      <c r="C1989" s="79" t="s">
        <v>8431</v>
      </c>
    </row>
    <row r="1990" spans="1:3" ht="18" x14ac:dyDescent="0.25">
      <c r="A1990" s="182"/>
      <c r="B1990" s="182" t="s">
        <v>8873</v>
      </c>
      <c r="C1990" s="183"/>
    </row>
    <row r="1991" spans="1:3" x14ac:dyDescent="0.25">
      <c r="A1991" s="62" t="s">
        <v>4586</v>
      </c>
      <c r="B1991" s="63" t="s">
        <v>4587</v>
      </c>
      <c r="C1991" s="79" t="s">
        <v>8874</v>
      </c>
    </row>
    <row r="1992" spans="1:3" x14ac:dyDescent="0.25">
      <c r="A1992" s="62" t="s">
        <v>4588</v>
      </c>
      <c r="B1992" s="63" t="s">
        <v>4587</v>
      </c>
      <c r="C1992" s="79" t="s">
        <v>8875</v>
      </c>
    </row>
    <row r="1993" spans="1:3" ht="18" x14ac:dyDescent="0.25">
      <c r="A1993" s="182"/>
      <c r="B1993" s="182" t="s">
        <v>8876</v>
      </c>
      <c r="C1993" s="183"/>
    </row>
    <row r="1994" spans="1:3" x14ac:dyDescent="0.25">
      <c r="A1994" s="62" t="s">
        <v>4589</v>
      </c>
      <c r="B1994" s="63" t="s">
        <v>4590</v>
      </c>
      <c r="C1994" s="79" t="s">
        <v>8877</v>
      </c>
    </row>
    <row r="1995" spans="1:3" ht="18" x14ac:dyDescent="0.25">
      <c r="A1995" s="182"/>
      <c r="B1995" s="182" t="s">
        <v>8878</v>
      </c>
      <c r="C1995" s="183"/>
    </row>
    <row r="1996" spans="1:3" x14ac:dyDescent="0.25">
      <c r="A1996" s="62" t="s">
        <v>4591</v>
      </c>
      <c r="B1996" s="63" t="s">
        <v>4592</v>
      </c>
      <c r="C1996" s="79" t="s">
        <v>8774</v>
      </c>
    </row>
    <row r="1997" spans="1:3" ht="18" x14ac:dyDescent="0.25">
      <c r="A1997" s="182"/>
      <c r="B1997" s="182" t="s">
        <v>8879</v>
      </c>
      <c r="C1997" s="183"/>
    </row>
    <row r="1998" spans="1:3" x14ac:dyDescent="0.25">
      <c r="A1998" s="62" t="s">
        <v>4593</v>
      </c>
      <c r="B1998" s="63" t="s">
        <v>4594</v>
      </c>
      <c r="C1998" s="79" t="s">
        <v>8674</v>
      </c>
    </row>
    <row r="1999" spans="1:3" ht="18" x14ac:dyDescent="0.25">
      <c r="A1999" s="182"/>
      <c r="B1999" s="182" t="s">
        <v>8880</v>
      </c>
      <c r="C1999" s="183"/>
    </row>
    <row r="2000" spans="1:3" x14ac:dyDescent="0.25">
      <c r="A2000" s="62" t="s">
        <v>4595</v>
      </c>
      <c r="B2000" s="63" t="s">
        <v>4596</v>
      </c>
      <c r="C2000" s="79" t="s">
        <v>8431</v>
      </c>
    </row>
    <row r="2001" spans="1:3" ht="18" x14ac:dyDescent="0.25">
      <c r="A2001" s="182"/>
      <c r="B2001" s="182" t="s">
        <v>8881</v>
      </c>
      <c r="C2001" s="183"/>
    </row>
    <row r="2002" spans="1:3" x14ac:dyDescent="0.25">
      <c r="A2002" s="62" t="s">
        <v>4597</v>
      </c>
      <c r="B2002" s="63" t="s">
        <v>4598</v>
      </c>
      <c r="C2002" s="79" t="s">
        <v>8864</v>
      </c>
    </row>
    <row r="2003" spans="1:3" ht="18" x14ac:dyDescent="0.25">
      <c r="A2003" s="182"/>
      <c r="B2003" s="182" t="s">
        <v>8882</v>
      </c>
      <c r="C2003" s="183"/>
    </row>
    <row r="2004" spans="1:3" x14ac:dyDescent="0.25">
      <c r="A2004" s="62" t="s">
        <v>4599</v>
      </c>
      <c r="B2004" s="63" t="s">
        <v>4600</v>
      </c>
      <c r="C2004" s="79" t="s">
        <v>8792</v>
      </c>
    </row>
    <row r="2005" spans="1:3" ht="18" x14ac:dyDescent="0.25">
      <c r="A2005" s="182"/>
      <c r="B2005" s="182" t="s">
        <v>8883</v>
      </c>
      <c r="C2005" s="183"/>
    </row>
    <row r="2006" spans="1:3" x14ac:dyDescent="0.25">
      <c r="A2006" s="62" t="s">
        <v>4601</v>
      </c>
      <c r="B2006" s="63" t="s">
        <v>4602</v>
      </c>
      <c r="C2006" s="79" t="s">
        <v>8705</v>
      </c>
    </row>
    <row r="2007" spans="1:3" ht="18" x14ac:dyDescent="0.25">
      <c r="A2007" s="182"/>
      <c r="B2007" s="182" t="s">
        <v>8884</v>
      </c>
      <c r="C2007" s="183"/>
    </row>
    <row r="2008" spans="1:3" x14ac:dyDescent="0.25">
      <c r="A2008" s="62" t="s">
        <v>4603</v>
      </c>
      <c r="B2008" s="63" t="s">
        <v>4604</v>
      </c>
      <c r="C2008" s="79" t="s">
        <v>8767</v>
      </c>
    </row>
    <row r="2009" spans="1:3" ht="18" x14ac:dyDescent="0.25">
      <c r="A2009" s="182"/>
      <c r="B2009" s="182" t="s">
        <v>8885</v>
      </c>
      <c r="C2009" s="183"/>
    </row>
    <row r="2010" spans="1:3" x14ac:dyDescent="0.25">
      <c r="A2010" s="62" t="s">
        <v>4605</v>
      </c>
      <c r="B2010" s="63" t="s">
        <v>4606</v>
      </c>
      <c r="C2010" s="79" t="s">
        <v>8792</v>
      </c>
    </row>
    <row r="2011" spans="1:3" ht="18" x14ac:dyDescent="0.25">
      <c r="A2011" s="182"/>
      <c r="B2011" s="182" t="s">
        <v>8886</v>
      </c>
      <c r="C2011" s="183"/>
    </row>
    <row r="2012" spans="1:3" x14ac:dyDescent="0.25">
      <c r="A2012" s="62" t="s">
        <v>4607</v>
      </c>
      <c r="B2012" s="63" t="s">
        <v>4608</v>
      </c>
      <c r="C2012" s="79" t="s">
        <v>8857</v>
      </c>
    </row>
    <row r="2013" spans="1:3" x14ac:dyDescent="0.25">
      <c r="A2013" s="62" t="s">
        <v>4609</v>
      </c>
      <c r="B2013" s="63" t="s">
        <v>4610</v>
      </c>
      <c r="C2013" s="79" t="s">
        <v>8686</v>
      </c>
    </row>
    <row r="2014" spans="1:3" x14ac:dyDescent="0.25">
      <c r="A2014" s="62" t="s">
        <v>4611</v>
      </c>
      <c r="B2014" s="63" t="s">
        <v>4612</v>
      </c>
      <c r="C2014" s="79" t="s">
        <v>8661</v>
      </c>
    </row>
    <row r="2015" spans="1:3" x14ac:dyDescent="0.25">
      <c r="A2015" s="62" t="s">
        <v>4613</v>
      </c>
      <c r="B2015" s="63" t="s">
        <v>4614</v>
      </c>
      <c r="C2015" s="79" t="s">
        <v>8661</v>
      </c>
    </row>
    <row r="2016" spans="1:3" x14ac:dyDescent="0.25">
      <c r="A2016" s="62" t="s">
        <v>4615</v>
      </c>
      <c r="B2016" s="63" t="s">
        <v>4616</v>
      </c>
      <c r="C2016" s="79" t="s">
        <v>8661</v>
      </c>
    </row>
    <row r="2017" spans="1:3" x14ac:dyDescent="0.25">
      <c r="A2017" s="62" t="s">
        <v>4617</v>
      </c>
      <c r="B2017" s="63" t="s">
        <v>4618</v>
      </c>
      <c r="C2017" s="79" t="s">
        <v>8661</v>
      </c>
    </row>
    <row r="2018" spans="1:3" x14ac:dyDescent="0.25">
      <c r="A2018" s="62" t="s">
        <v>4619</v>
      </c>
      <c r="B2018" s="63" t="s">
        <v>4612</v>
      </c>
      <c r="C2018" s="79" t="s">
        <v>8887</v>
      </c>
    </row>
    <row r="2019" spans="1:3" x14ac:dyDescent="0.25">
      <c r="A2019" s="62" t="s">
        <v>4620</v>
      </c>
      <c r="B2019" s="63" t="s">
        <v>4621</v>
      </c>
      <c r="C2019" s="79" t="s">
        <v>8888</v>
      </c>
    </row>
    <row r="2020" spans="1:3" x14ac:dyDescent="0.25">
      <c r="A2020" s="62" t="s">
        <v>4622</v>
      </c>
      <c r="B2020" s="63" t="s">
        <v>4623</v>
      </c>
      <c r="C2020" s="79" t="s">
        <v>8888</v>
      </c>
    </row>
    <row r="2021" spans="1:3" x14ac:dyDescent="0.25">
      <c r="A2021" s="62" t="s">
        <v>4624</v>
      </c>
      <c r="B2021" s="63" t="s">
        <v>4625</v>
      </c>
      <c r="C2021" s="79" t="s">
        <v>8888</v>
      </c>
    </row>
    <row r="2022" spans="1:3" x14ac:dyDescent="0.25">
      <c r="A2022" s="62" t="s">
        <v>4626</v>
      </c>
      <c r="B2022" s="63" t="s">
        <v>4627</v>
      </c>
      <c r="C2022" s="79" t="s">
        <v>8888</v>
      </c>
    </row>
    <row r="2023" spans="1:3" x14ac:dyDescent="0.25">
      <c r="A2023" s="62" t="s">
        <v>4628</v>
      </c>
      <c r="B2023" s="63" t="s">
        <v>4629</v>
      </c>
      <c r="C2023" s="79" t="s">
        <v>8888</v>
      </c>
    </row>
    <row r="2024" spans="1:3" x14ac:dyDescent="0.25">
      <c r="A2024" s="62" t="s">
        <v>4630</v>
      </c>
      <c r="B2024" s="63" t="s">
        <v>4631</v>
      </c>
      <c r="C2024" s="79" t="s">
        <v>8889</v>
      </c>
    </row>
    <row r="2025" spans="1:3" x14ac:dyDescent="0.25">
      <c r="A2025" s="62" t="s">
        <v>4632</v>
      </c>
      <c r="B2025" s="63" t="s">
        <v>4633</v>
      </c>
      <c r="C2025" s="79" t="s">
        <v>8496</v>
      </c>
    </row>
    <row r="2026" spans="1:3" x14ac:dyDescent="0.25">
      <c r="A2026" s="62" t="s">
        <v>4634</v>
      </c>
      <c r="B2026" s="63" t="s">
        <v>4635</v>
      </c>
      <c r="C2026" s="79" t="s">
        <v>8496</v>
      </c>
    </row>
    <row r="2027" spans="1:3" x14ac:dyDescent="0.25">
      <c r="A2027" s="62" t="s">
        <v>4636</v>
      </c>
      <c r="B2027" s="63" t="s">
        <v>4637</v>
      </c>
      <c r="C2027" s="79" t="s">
        <v>8496</v>
      </c>
    </row>
    <row r="2028" spans="1:3" x14ac:dyDescent="0.25">
      <c r="A2028" s="62" t="s">
        <v>4638</v>
      </c>
      <c r="B2028" s="63" t="s">
        <v>4639</v>
      </c>
      <c r="C2028" s="79" t="s">
        <v>8496</v>
      </c>
    </row>
    <row r="2029" spans="1:3" x14ac:dyDescent="0.25">
      <c r="A2029" s="62" t="s">
        <v>4640</v>
      </c>
      <c r="B2029" s="63" t="s">
        <v>4641</v>
      </c>
      <c r="C2029" s="79" t="s">
        <v>8439</v>
      </c>
    </row>
    <row r="2030" spans="1:3" x14ac:dyDescent="0.25">
      <c r="A2030" s="62" t="s">
        <v>4642</v>
      </c>
      <c r="B2030" s="63" t="s">
        <v>4643</v>
      </c>
      <c r="C2030" s="79" t="s">
        <v>8789</v>
      </c>
    </row>
    <row r="2031" spans="1:3" x14ac:dyDescent="0.25">
      <c r="A2031" s="62" t="s">
        <v>4644</v>
      </c>
      <c r="B2031" s="63" t="s">
        <v>4645</v>
      </c>
      <c r="C2031" s="79" t="s">
        <v>8890</v>
      </c>
    </row>
    <row r="2032" spans="1:3" x14ac:dyDescent="0.25">
      <c r="A2032" s="62" t="s">
        <v>4646</v>
      </c>
      <c r="B2032" s="63" t="s">
        <v>4647</v>
      </c>
      <c r="C2032" s="79" t="s">
        <v>8686</v>
      </c>
    </row>
    <row r="2033" spans="1:3" x14ac:dyDescent="0.25">
      <c r="A2033" s="62" t="s">
        <v>4648</v>
      </c>
      <c r="B2033" s="63" t="s">
        <v>4649</v>
      </c>
      <c r="C2033" s="79" t="s">
        <v>8660</v>
      </c>
    </row>
    <row r="2034" spans="1:3" x14ac:dyDescent="0.25">
      <c r="A2034" s="62" t="s">
        <v>4650</v>
      </c>
      <c r="B2034" s="63" t="s">
        <v>4651</v>
      </c>
      <c r="C2034" s="79" t="s">
        <v>8891</v>
      </c>
    </row>
    <row r="2035" spans="1:3" x14ac:dyDescent="0.25">
      <c r="A2035" s="62" t="s">
        <v>4652</v>
      </c>
      <c r="B2035" s="63" t="s">
        <v>4653</v>
      </c>
      <c r="C2035" s="79" t="s">
        <v>8857</v>
      </c>
    </row>
    <row r="2036" spans="1:3" x14ac:dyDescent="0.25">
      <c r="A2036" s="62" t="s">
        <v>4654</v>
      </c>
      <c r="B2036" s="63" t="s">
        <v>4655</v>
      </c>
      <c r="C2036" s="79" t="s">
        <v>8857</v>
      </c>
    </row>
    <row r="2037" spans="1:3" x14ac:dyDescent="0.25">
      <c r="A2037" s="62" t="s">
        <v>4656</v>
      </c>
      <c r="B2037" s="63" t="s">
        <v>4657</v>
      </c>
      <c r="C2037" s="79" t="s">
        <v>8857</v>
      </c>
    </row>
    <row r="2038" spans="1:3" x14ac:dyDescent="0.25">
      <c r="A2038" s="62" t="s">
        <v>4658</v>
      </c>
      <c r="B2038" s="63" t="s">
        <v>4659</v>
      </c>
      <c r="C2038" s="79" t="s">
        <v>8857</v>
      </c>
    </row>
    <row r="2039" spans="1:3" x14ac:dyDescent="0.25">
      <c r="A2039" s="62" t="s">
        <v>4660</v>
      </c>
      <c r="B2039" s="63" t="s">
        <v>4661</v>
      </c>
      <c r="C2039" s="79" t="s">
        <v>8857</v>
      </c>
    </row>
    <row r="2040" spans="1:3" x14ac:dyDescent="0.25">
      <c r="A2040" s="62" t="s">
        <v>4662</v>
      </c>
      <c r="B2040" s="63" t="s">
        <v>4663</v>
      </c>
      <c r="C2040" s="79" t="s">
        <v>8686</v>
      </c>
    </row>
    <row r="2041" spans="1:3" x14ac:dyDescent="0.25">
      <c r="A2041" s="62" t="s">
        <v>4664</v>
      </c>
      <c r="B2041" s="63" t="s">
        <v>4665</v>
      </c>
      <c r="C2041" s="79" t="s">
        <v>8686</v>
      </c>
    </row>
    <row r="2042" spans="1:3" x14ac:dyDescent="0.25">
      <c r="A2042" s="62" t="s">
        <v>4666</v>
      </c>
      <c r="B2042" s="63" t="s">
        <v>4667</v>
      </c>
      <c r="C2042" s="79" t="s">
        <v>8686</v>
      </c>
    </row>
    <row r="2043" spans="1:3" x14ac:dyDescent="0.25">
      <c r="A2043" s="62" t="s">
        <v>4668</v>
      </c>
      <c r="B2043" s="63" t="s">
        <v>4669</v>
      </c>
      <c r="C2043" s="79" t="s">
        <v>8686</v>
      </c>
    </row>
    <row r="2044" spans="1:3" x14ac:dyDescent="0.25">
      <c r="A2044" s="62" t="s">
        <v>4670</v>
      </c>
      <c r="B2044" s="63" t="s">
        <v>4671</v>
      </c>
      <c r="C2044" s="79" t="s">
        <v>8686</v>
      </c>
    </row>
    <row r="2045" spans="1:3" x14ac:dyDescent="0.25">
      <c r="A2045" s="62" t="s">
        <v>4672</v>
      </c>
      <c r="B2045" s="63" t="s">
        <v>4673</v>
      </c>
      <c r="C2045" s="79" t="s">
        <v>8435</v>
      </c>
    </row>
    <row r="2046" spans="1:3" x14ac:dyDescent="0.25">
      <c r="A2046" s="62" t="s">
        <v>4674</v>
      </c>
      <c r="B2046" s="63" t="s">
        <v>4675</v>
      </c>
      <c r="C2046" s="79" t="s">
        <v>8435</v>
      </c>
    </row>
    <row r="2047" spans="1:3" x14ac:dyDescent="0.25">
      <c r="A2047" s="62" t="s">
        <v>4676</v>
      </c>
      <c r="B2047" s="63" t="s">
        <v>4677</v>
      </c>
      <c r="C2047" s="79" t="s">
        <v>8435</v>
      </c>
    </row>
    <row r="2048" spans="1:3" x14ac:dyDescent="0.25">
      <c r="A2048" s="62" t="s">
        <v>4678</v>
      </c>
      <c r="B2048" s="63" t="s">
        <v>4679</v>
      </c>
      <c r="C2048" s="79" t="s">
        <v>8435</v>
      </c>
    </row>
    <row r="2049" spans="1:3" x14ac:dyDescent="0.25">
      <c r="A2049" s="62" t="s">
        <v>4680</v>
      </c>
      <c r="B2049" s="63" t="s">
        <v>4681</v>
      </c>
      <c r="C2049" s="79" t="s">
        <v>8435</v>
      </c>
    </row>
    <row r="2050" spans="1:3" x14ac:dyDescent="0.25">
      <c r="A2050" s="62" t="s">
        <v>4682</v>
      </c>
      <c r="B2050" s="63" t="s">
        <v>4683</v>
      </c>
      <c r="C2050" s="79" t="s">
        <v>8892</v>
      </c>
    </row>
    <row r="2051" spans="1:3" x14ac:dyDescent="0.25">
      <c r="A2051" s="62" t="s">
        <v>4684</v>
      </c>
      <c r="B2051" s="63" t="s">
        <v>4685</v>
      </c>
      <c r="C2051" s="79" t="s">
        <v>8892</v>
      </c>
    </row>
    <row r="2052" spans="1:3" x14ac:dyDescent="0.25">
      <c r="A2052" s="62" t="s">
        <v>4686</v>
      </c>
      <c r="B2052" s="63" t="s">
        <v>4687</v>
      </c>
      <c r="C2052" s="79" t="s">
        <v>8892</v>
      </c>
    </row>
    <row r="2053" spans="1:3" x14ac:dyDescent="0.25">
      <c r="A2053" s="62" t="s">
        <v>4688</v>
      </c>
      <c r="B2053" s="63" t="s">
        <v>4689</v>
      </c>
      <c r="C2053" s="79" t="s">
        <v>8892</v>
      </c>
    </row>
    <row r="2054" spans="1:3" x14ac:dyDescent="0.25">
      <c r="A2054" s="62" t="s">
        <v>4690</v>
      </c>
      <c r="B2054" s="63" t="s">
        <v>4691</v>
      </c>
      <c r="C2054" s="79" t="s">
        <v>8892</v>
      </c>
    </row>
    <row r="2055" spans="1:3" x14ac:dyDescent="0.25">
      <c r="A2055" s="62" t="s">
        <v>4692</v>
      </c>
      <c r="B2055" s="63" t="s">
        <v>4693</v>
      </c>
      <c r="C2055" s="79" t="s">
        <v>8892</v>
      </c>
    </row>
    <row r="2056" spans="1:3" x14ac:dyDescent="0.25">
      <c r="A2056" s="62" t="s">
        <v>4694</v>
      </c>
      <c r="B2056" s="63" t="s">
        <v>4695</v>
      </c>
      <c r="C2056" s="79" t="s">
        <v>8892</v>
      </c>
    </row>
    <row r="2057" spans="1:3" x14ac:dyDescent="0.25">
      <c r="A2057" s="62" t="s">
        <v>4696</v>
      </c>
      <c r="B2057" s="63" t="s">
        <v>4697</v>
      </c>
      <c r="C2057" s="79" t="s">
        <v>8892</v>
      </c>
    </row>
    <row r="2058" spans="1:3" x14ac:dyDescent="0.25">
      <c r="A2058" s="62" t="s">
        <v>4698</v>
      </c>
      <c r="B2058" s="63" t="s">
        <v>4699</v>
      </c>
      <c r="C2058" s="79" t="s">
        <v>8892</v>
      </c>
    </row>
    <row r="2059" spans="1:3" x14ac:dyDescent="0.25">
      <c r="A2059" s="62" t="s">
        <v>4700</v>
      </c>
      <c r="B2059" s="63" t="s">
        <v>4701</v>
      </c>
      <c r="C2059" s="79" t="s">
        <v>8892</v>
      </c>
    </row>
    <row r="2060" spans="1:3" x14ac:dyDescent="0.25">
      <c r="A2060" s="62" t="s">
        <v>4702</v>
      </c>
      <c r="B2060" s="63" t="s">
        <v>4703</v>
      </c>
      <c r="C2060" s="79" t="s">
        <v>8893</v>
      </c>
    </row>
    <row r="2061" spans="1:3" x14ac:dyDescent="0.25">
      <c r="A2061" s="62" t="s">
        <v>4704</v>
      </c>
      <c r="B2061" s="63" t="s">
        <v>4705</v>
      </c>
      <c r="C2061" s="79" t="s">
        <v>8893</v>
      </c>
    </row>
    <row r="2062" spans="1:3" x14ac:dyDescent="0.25">
      <c r="A2062" s="62" t="s">
        <v>4706</v>
      </c>
      <c r="B2062" s="63" t="s">
        <v>4707</v>
      </c>
      <c r="C2062" s="79" t="s">
        <v>8893</v>
      </c>
    </row>
    <row r="2063" spans="1:3" x14ac:dyDescent="0.25">
      <c r="A2063" s="62" t="s">
        <v>4708</v>
      </c>
      <c r="B2063" s="63" t="s">
        <v>4709</v>
      </c>
      <c r="C2063" s="79" t="s">
        <v>8893</v>
      </c>
    </row>
    <row r="2064" spans="1:3" x14ac:dyDescent="0.25">
      <c r="A2064" s="62" t="s">
        <v>4710</v>
      </c>
      <c r="B2064" s="63" t="s">
        <v>4711</v>
      </c>
      <c r="C2064" s="79" t="s">
        <v>8893</v>
      </c>
    </row>
    <row r="2065" spans="1:3" x14ac:dyDescent="0.25">
      <c r="A2065" s="62" t="s">
        <v>4712</v>
      </c>
      <c r="B2065" s="63" t="s">
        <v>4713</v>
      </c>
      <c r="C2065" s="79" t="s">
        <v>8453</v>
      </c>
    </row>
    <row r="2066" spans="1:3" x14ac:dyDescent="0.25">
      <c r="A2066" s="62" t="s">
        <v>4714</v>
      </c>
      <c r="B2066" s="63" t="s">
        <v>4715</v>
      </c>
      <c r="C2066" s="79" t="s">
        <v>8894</v>
      </c>
    </row>
    <row r="2067" spans="1:3" x14ac:dyDescent="0.25">
      <c r="A2067" s="62" t="s">
        <v>4716</v>
      </c>
      <c r="B2067" s="63" t="s">
        <v>4717</v>
      </c>
      <c r="C2067" s="79" t="s">
        <v>8894</v>
      </c>
    </row>
    <row r="2068" spans="1:3" x14ac:dyDescent="0.25">
      <c r="A2068" s="62" t="s">
        <v>4718</v>
      </c>
      <c r="B2068" s="63" t="s">
        <v>4719</v>
      </c>
      <c r="C2068" s="79" t="s">
        <v>8894</v>
      </c>
    </row>
    <row r="2069" spans="1:3" x14ac:dyDescent="0.25">
      <c r="A2069" s="62" t="s">
        <v>4720</v>
      </c>
      <c r="B2069" s="63" t="s">
        <v>4721</v>
      </c>
      <c r="C2069" s="79" t="s">
        <v>8894</v>
      </c>
    </row>
    <row r="2070" spans="1:3" x14ac:dyDescent="0.25">
      <c r="A2070" s="62" t="s">
        <v>4722</v>
      </c>
      <c r="B2070" s="63" t="s">
        <v>4723</v>
      </c>
      <c r="C2070" s="79" t="s">
        <v>8613</v>
      </c>
    </row>
    <row r="2071" spans="1:3" x14ac:dyDescent="0.25">
      <c r="A2071" s="62" t="s">
        <v>4724</v>
      </c>
      <c r="B2071" s="63" t="s">
        <v>4725</v>
      </c>
      <c r="C2071" s="79" t="s">
        <v>8448</v>
      </c>
    </row>
    <row r="2072" spans="1:3" x14ac:dyDescent="0.25">
      <c r="A2072" s="62" t="s">
        <v>4726</v>
      </c>
      <c r="B2072" s="63" t="s">
        <v>4727</v>
      </c>
      <c r="C2072" s="79" t="s">
        <v>8613</v>
      </c>
    </row>
    <row r="2073" spans="1:3" x14ac:dyDescent="0.25">
      <c r="A2073" s="62" t="s">
        <v>4728</v>
      </c>
      <c r="B2073" s="63" t="s">
        <v>4729</v>
      </c>
      <c r="C2073" s="79" t="s">
        <v>8448</v>
      </c>
    </row>
    <row r="2074" spans="1:3" x14ac:dyDescent="0.25">
      <c r="A2074" s="62" t="s">
        <v>4730</v>
      </c>
      <c r="B2074" s="63" t="s">
        <v>4731</v>
      </c>
      <c r="C2074" s="79" t="s">
        <v>8448</v>
      </c>
    </row>
    <row r="2075" spans="1:3" x14ac:dyDescent="0.25">
      <c r="A2075" s="62" t="s">
        <v>4732</v>
      </c>
      <c r="B2075" s="63" t="s">
        <v>4733</v>
      </c>
      <c r="C2075" s="79" t="s">
        <v>8613</v>
      </c>
    </row>
    <row r="2076" spans="1:3" x14ac:dyDescent="0.25">
      <c r="A2076" s="62" t="s">
        <v>4734</v>
      </c>
      <c r="B2076" s="63" t="s">
        <v>4735</v>
      </c>
      <c r="C2076" s="79" t="s">
        <v>8613</v>
      </c>
    </row>
    <row r="2077" spans="1:3" x14ac:dyDescent="0.25">
      <c r="A2077" s="62" t="s">
        <v>4736</v>
      </c>
      <c r="B2077" s="63" t="s">
        <v>4737</v>
      </c>
      <c r="C2077" s="79" t="s">
        <v>8613</v>
      </c>
    </row>
    <row r="2078" spans="1:3" x14ac:dyDescent="0.25">
      <c r="A2078" s="62" t="s">
        <v>4738</v>
      </c>
      <c r="B2078" s="63" t="s">
        <v>4739</v>
      </c>
      <c r="C2078" s="79" t="s">
        <v>8448</v>
      </c>
    </row>
    <row r="2079" spans="1:3" x14ac:dyDescent="0.25">
      <c r="A2079" s="62" t="s">
        <v>4740</v>
      </c>
      <c r="B2079" s="63" t="s">
        <v>4741</v>
      </c>
      <c r="C2079" s="79" t="s">
        <v>8448</v>
      </c>
    </row>
    <row r="2080" spans="1:3" x14ac:dyDescent="0.25">
      <c r="A2080" s="62" t="s">
        <v>4742</v>
      </c>
      <c r="B2080" s="63" t="s">
        <v>4743</v>
      </c>
      <c r="C2080" s="79" t="s">
        <v>8895</v>
      </c>
    </row>
    <row r="2081" spans="1:3" x14ac:dyDescent="0.25">
      <c r="A2081" s="62" t="s">
        <v>4744</v>
      </c>
      <c r="B2081" s="63" t="s">
        <v>4745</v>
      </c>
      <c r="C2081" s="79" t="s">
        <v>8895</v>
      </c>
    </row>
    <row r="2082" spans="1:3" x14ac:dyDescent="0.25">
      <c r="A2082" s="62" t="s">
        <v>4746</v>
      </c>
      <c r="B2082" s="63" t="s">
        <v>4747</v>
      </c>
      <c r="C2082" s="79" t="s">
        <v>8895</v>
      </c>
    </row>
    <row r="2083" spans="1:3" x14ac:dyDescent="0.25">
      <c r="A2083" s="62" t="s">
        <v>4748</v>
      </c>
      <c r="B2083" s="63" t="s">
        <v>4749</v>
      </c>
      <c r="C2083" s="79" t="s">
        <v>8895</v>
      </c>
    </row>
    <row r="2084" spans="1:3" x14ac:dyDescent="0.25">
      <c r="A2084" s="62" t="s">
        <v>4750</v>
      </c>
      <c r="B2084" s="63" t="s">
        <v>4751</v>
      </c>
      <c r="C2084" s="79" t="s">
        <v>8895</v>
      </c>
    </row>
    <row r="2085" spans="1:3" x14ac:dyDescent="0.25">
      <c r="A2085" s="62" t="s">
        <v>4752</v>
      </c>
      <c r="B2085" s="63" t="s">
        <v>4753</v>
      </c>
      <c r="C2085" s="79" t="s">
        <v>8842</v>
      </c>
    </row>
    <row r="2086" spans="1:3" x14ac:dyDescent="0.25">
      <c r="A2086" s="62" t="s">
        <v>4754</v>
      </c>
      <c r="B2086" s="63" t="s">
        <v>4755</v>
      </c>
      <c r="C2086" s="79" t="s">
        <v>8842</v>
      </c>
    </row>
    <row r="2087" spans="1:3" x14ac:dyDescent="0.25">
      <c r="A2087" s="62" t="s">
        <v>4756</v>
      </c>
      <c r="B2087" s="63" t="s">
        <v>4757</v>
      </c>
      <c r="C2087" s="79" t="s">
        <v>8842</v>
      </c>
    </row>
    <row r="2088" spans="1:3" x14ac:dyDescent="0.25">
      <c r="A2088" s="62" t="s">
        <v>4758</v>
      </c>
      <c r="B2088" s="63" t="s">
        <v>4759</v>
      </c>
      <c r="C2088" s="79" t="s">
        <v>8895</v>
      </c>
    </row>
    <row r="2089" spans="1:3" x14ac:dyDescent="0.25">
      <c r="A2089" s="62" t="s">
        <v>4760</v>
      </c>
      <c r="B2089" s="63" t="s">
        <v>4761</v>
      </c>
      <c r="C2089" s="79" t="s">
        <v>8895</v>
      </c>
    </row>
    <row r="2090" spans="1:3" x14ac:dyDescent="0.25">
      <c r="A2090" s="62" t="s">
        <v>4762</v>
      </c>
      <c r="B2090" s="63" t="s">
        <v>4763</v>
      </c>
      <c r="C2090" s="79" t="s">
        <v>8842</v>
      </c>
    </row>
    <row r="2091" spans="1:3" x14ac:dyDescent="0.25">
      <c r="A2091" s="62" t="s">
        <v>4764</v>
      </c>
      <c r="B2091" s="63" t="s">
        <v>4765</v>
      </c>
      <c r="C2091" s="79" t="s">
        <v>8842</v>
      </c>
    </row>
    <row r="2092" spans="1:3" x14ac:dyDescent="0.25">
      <c r="A2092" s="62" t="s">
        <v>4766</v>
      </c>
      <c r="B2092" s="63" t="s">
        <v>4767</v>
      </c>
      <c r="C2092" s="79" t="s">
        <v>8842</v>
      </c>
    </row>
    <row r="2093" spans="1:3" x14ac:dyDescent="0.25">
      <c r="A2093" s="62" t="s">
        <v>4768</v>
      </c>
      <c r="B2093" s="63" t="s">
        <v>4769</v>
      </c>
      <c r="C2093" s="79" t="s">
        <v>8842</v>
      </c>
    </row>
    <row r="2094" spans="1:3" x14ac:dyDescent="0.25">
      <c r="A2094" s="62" t="s">
        <v>4770</v>
      </c>
      <c r="B2094" s="63" t="s">
        <v>4771</v>
      </c>
      <c r="C2094" s="79" t="s">
        <v>8842</v>
      </c>
    </row>
    <row r="2095" spans="1:3" x14ac:dyDescent="0.25">
      <c r="A2095" s="62" t="s">
        <v>4772</v>
      </c>
      <c r="B2095" s="63" t="s">
        <v>4773</v>
      </c>
      <c r="C2095" s="79" t="s">
        <v>8842</v>
      </c>
    </row>
    <row r="2096" spans="1:3" x14ac:dyDescent="0.25">
      <c r="A2096" s="62" t="s">
        <v>4774</v>
      </c>
      <c r="B2096" s="63" t="s">
        <v>4775</v>
      </c>
      <c r="C2096" s="79" t="s">
        <v>8842</v>
      </c>
    </row>
    <row r="2097" spans="1:3" x14ac:dyDescent="0.25">
      <c r="A2097" s="62" t="s">
        <v>4776</v>
      </c>
      <c r="B2097" s="63" t="s">
        <v>4777</v>
      </c>
      <c r="C2097" s="79" t="s">
        <v>8895</v>
      </c>
    </row>
    <row r="2098" spans="1:3" x14ac:dyDescent="0.25">
      <c r="A2098" s="62" t="s">
        <v>4778</v>
      </c>
      <c r="B2098" s="63" t="s">
        <v>4779</v>
      </c>
      <c r="C2098" s="79" t="s">
        <v>8895</v>
      </c>
    </row>
    <row r="2099" spans="1:3" x14ac:dyDescent="0.25">
      <c r="A2099" s="62" t="s">
        <v>4780</v>
      </c>
      <c r="B2099" s="63" t="s">
        <v>4781</v>
      </c>
      <c r="C2099" s="79" t="s">
        <v>8895</v>
      </c>
    </row>
    <row r="2100" spans="1:3" x14ac:dyDescent="0.25">
      <c r="A2100" s="62" t="s">
        <v>4782</v>
      </c>
      <c r="B2100" s="63" t="s">
        <v>4783</v>
      </c>
      <c r="C2100" s="79" t="s">
        <v>8895</v>
      </c>
    </row>
    <row r="2101" spans="1:3" x14ac:dyDescent="0.25">
      <c r="A2101" s="62" t="s">
        <v>4784</v>
      </c>
      <c r="B2101" s="63" t="s">
        <v>4785</v>
      </c>
      <c r="C2101" s="79" t="s">
        <v>8895</v>
      </c>
    </row>
    <row r="2102" spans="1:3" x14ac:dyDescent="0.25">
      <c r="A2102" s="62" t="s">
        <v>4786</v>
      </c>
      <c r="B2102" s="63" t="s">
        <v>4787</v>
      </c>
      <c r="C2102" s="79" t="s">
        <v>8842</v>
      </c>
    </row>
    <row r="2103" spans="1:3" x14ac:dyDescent="0.25">
      <c r="A2103" s="62" t="s">
        <v>4788</v>
      </c>
      <c r="B2103" s="63" t="s">
        <v>4789</v>
      </c>
      <c r="C2103" s="79" t="s">
        <v>8895</v>
      </c>
    </row>
    <row r="2104" spans="1:3" x14ac:dyDescent="0.25">
      <c r="A2104" s="62" t="s">
        <v>4790</v>
      </c>
      <c r="B2104" s="63" t="s">
        <v>4791</v>
      </c>
      <c r="C2104" s="79" t="s">
        <v>8895</v>
      </c>
    </row>
    <row r="2105" spans="1:3" x14ac:dyDescent="0.25">
      <c r="A2105" s="62" t="s">
        <v>4792</v>
      </c>
      <c r="B2105" s="63" t="s">
        <v>4793</v>
      </c>
      <c r="C2105" s="79" t="s">
        <v>8895</v>
      </c>
    </row>
    <row r="2106" spans="1:3" x14ac:dyDescent="0.25">
      <c r="A2106" s="62" t="s">
        <v>4794</v>
      </c>
      <c r="B2106" s="63" t="s">
        <v>4795</v>
      </c>
      <c r="C2106" s="79" t="s">
        <v>8895</v>
      </c>
    </row>
    <row r="2107" spans="1:3" x14ac:dyDescent="0.25">
      <c r="A2107" s="62" t="s">
        <v>4796</v>
      </c>
      <c r="B2107" s="63" t="s">
        <v>4747</v>
      </c>
      <c r="C2107" s="79" t="s">
        <v>8895</v>
      </c>
    </row>
    <row r="2108" spans="1:3" x14ac:dyDescent="0.25">
      <c r="A2108" s="62" t="s">
        <v>4797</v>
      </c>
      <c r="B2108" s="63" t="s">
        <v>4749</v>
      </c>
      <c r="C2108" s="79" t="s">
        <v>8895</v>
      </c>
    </row>
    <row r="2109" spans="1:3" x14ac:dyDescent="0.25">
      <c r="A2109" s="62" t="s">
        <v>4798</v>
      </c>
      <c r="B2109" s="63" t="s">
        <v>4751</v>
      </c>
      <c r="C2109" s="79" t="s">
        <v>8895</v>
      </c>
    </row>
    <row r="2110" spans="1:3" x14ac:dyDescent="0.25">
      <c r="A2110" s="62" t="s">
        <v>4799</v>
      </c>
      <c r="B2110" s="63" t="s">
        <v>4753</v>
      </c>
      <c r="C2110" s="79" t="s">
        <v>8842</v>
      </c>
    </row>
    <row r="2111" spans="1:3" x14ac:dyDescent="0.25">
      <c r="A2111" s="62" t="s">
        <v>4800</v>
      </c>
      <c r="B2111" s="63" t="s">
        <v>4755</v>
      </c>
      <c r="C2111" s="79" t="s">
        <v>8842</v>
      </c>
    </row>
    <row r="2112" spans="1:3" x14ac:dyDescent="0.25">
      <c r="A2112" s="62" t="s">
        <v>4801</v>
      </c>
      <c r="B2112" s="63" t="s">
        <v>4757</v>
      </c>
      <c r="C2112" s="79" t="s">
        <v>8842</v>
      </c>
    </row>
    <row r="2113" spans="1:3" x14ac:dyDescent="0.25">
      <c r="A2113" s="62" t="s">
        <v>4802</v>
      </c>
      <c r="B2113" s="63" t="s">
        <v>4803</v>
      </c>
      <c r="C2113" s="79" t="s">
        <v>8895</v>
      </c>
    </row>
    <row r="2114" spans="1:3" x14ac:dyDescent="0.25">
      <c r="A2114" s="62" t="s">
        <v>4804</v>
      </c>
      <c r="B2114" s="63" t="s">
        <v>4761</v>
      </c>
      <c r="C2114" s="79" t="s">
        <v>8895</v>
      </c>
    </row>
    <row r="2115" spans="1:3" x14ac:dyDescent="0.25">
      <c r="A2115" s="62" t="s">
        <v>4805</v>
      </c>
      <c r="B2115" s="63" t="s">
        <v>4763</v>
      </c>
      <c r="C2115" s="79" t="s">
        <v>8842</v>
      </c>
    </row>
    <row r="2116" spans="1:3" x14ac:dyDescent="0.25">
      <c r="A2116" s="62" t="s">
        <v>4806</v>
      </c>
      <c r="B2116" s="63" t="s">
        <v>4765</v>
      </c>
      <c r="C2116" s="79" t="s">
        <v>8842</v>
      </c>
    </row>
    <row r="2117" spans="1:3" x14ac:dyDescent="0.25">
      <c r="A2117" s="62" t="s">
        <v>4807</v>
      </c>
      <c r="B2117" s="63" t="s">
        <v>4767</v>
      </c>
      <c r="C2117" s="79" t="s">
        <v>8842</v>
      </c>
    </row>
    <row r="2118" spans="1:3" x14ac:dyDescent="0.25">
      <c r="A2118" s="62" t="s">
        <v>4808</v>
      </c>
      <c r="B2118" s="63" t="s">
        <v>4769</v>
      </c>
      <c r="C2118" s="79" t="s">
        <v>8842</v>
      </c>
    </row>
    <row r="2119" spans="1:3" x14ac:dyDescent="0.25">
      <c r="A2119" s="62" t="s">
        <v>4809</v>
      </c>
      <c r="B2119" s="63" t="s">
        <v>4771</v>
      </c>
      <c r="C2119" s="79" t="s">
        <v>8842</v>
      </c>
    </row>
    <row r="2120" spans="1:3" x14ac:dyDescent="0.25">
      <c r="A2120" s="62" t="s">
        <v>4810</v>
      </c>
      <c r="B2120" s="63" t="s">
        <v>4773</v>
      </c>
      <c r="C2120" s="79" t="s">
        <v>8842</v>
      </c>
    </row>
    <row r="2121" spans="1:3" x14ac:dyDescent="0.25">
      <c r="A2121" s="62" t="s">
        <v>4811</v>
      </c>
      <c r="B2121" s="63" t="s">
        <v>4775</v>
      </c>
      <c r="C2121" s="79" t="s">
        <v>8842</v>
      </c>
    </row>
    <row r="2122" spans="1:3" x14ac:dyDescent="0.25">
      <c r="A2122" s="62" t="s">
        <v>4812</v>
      </c>
      <c r="B2122" s="63" t="s">
        <v>4813</v>
      </c>
      <c r="C2122" s="79" t="s">
        <v>8895</v>
      </c>
    </row>
    <row r="2123" spans="1:3" x14ac:dyDescent="0.25">
      <c r="A2123" s="62" t="s">
        <v>4814</v>
      </c>
      <c r="B2123" s="63" t="s">
        <v>4779</v>
      </c>
      <c r="C2123" s="79" t="s">
        <v>8895</v>
      </c>
    </row>
    <row r="2124" spans="1:3" x14ac:dyDescent="0.25">
      <c r="A2124" s="62" t="s">
        <v>4815</v>
      </c>
      <c r="B2124" s="63" t="s">
        <v>4781</v>
      </c>
      <c r="C2124" s="79" t="s">
        <v>8895</v>
      </c>
    </row>
    <row r="2125" spans="1:3" x14ac:dyDescent="0.25">
      <c r="A2125" s="62" t="s">
        <v>4816</v>
      </c>
      <c r="B2125" s="63" t="s">
        <v>4783</v>
      </c>
      <c r="C2125" s="79" t="s">
        <v>8895</v>
      </c>
    </row>
    <row r="2126" spans="1:3" x14ac:dyDescent="0.25">
      <c r="A2126" s="62" t="s">
        <v>4817</v>
      </c>
      <c r="B2126" s="63" t="s">
        <v>4785</v>
      </c>
      <c r="C2126" s="79" t="s">
        <v>8895</v>
      </c>
    </row>
    <row r="2127" spans="1:3" x14ac:dyDescent="0.25">
      <c r="A2127" s="62" t="s">
        <v>4818</v>
      </c>
      <c r="B2127" s="63" t="s">
        <v>4787</v>
      </c>
      <c r="C2127" s="79" t="s">
        <v>8842</v>
      </c>
    </row>
    <row r="2128" spans="1:3" x14ac:dyDescent="0.25">
      <c r="A2128" s="62" t="s">
        <v>4819</v>
      </c>
      <c r="B2128" s="63" t="s">
        <v>4820</v>
      </c>
      <c r="C2128" s="79" t="s">
        <v>8895</v>
      </c>
    </row>
    <row r="2129" spans="1:3" x14ac:dyDescent="0.25">
      <c r="A2129" s="62" t="s">
        <v>4821</v>
      </c>
      <c r="B2129" s="63" t="s">
        <v>4822</v>
      </c>
      <c r="C2129" s="79" t="s">
        <v>8698</v>
      </c>
    </row>
    <row r="2130" spans="1:3" x14ac:dyDescent="0.25">
      <c r="A2130" s="62" t="s">
        <v>4823</v>
      </c>
      <c r="B2130" s="63" t="s">
        <v>4824</v>
      </c>
      <c r="C2130" s="79" t="s">
        <v>8896</v>
      </c>
    </row>
    <row r="2131" spans="1:3" x14ac:dyDescent="0.25">
      <c r="A2131" s="62" t="s">
        <v>4825</v>
      </c>
      <c r="B2131" s="63" t="s">
        <v>4826</v>
      </c>
      <c r="C2131" s="79" t="s">
        <v>8896</v>
      </c>
    </row>
    <row r="2132" spans="1:3" x14ac:dyDescent="0.25">
      <c r="A2132" s="62" t="s">
        <v>4827</v>
      </c>
      <c r="B2132" s="63" t="s">
        <v>4828</v>
      </c>
      <c r="C2132" s="79" t="s">
        <v>8896</v>
      </c>
    </row>
    <row r="2133" spans="1:3" x14ac:dyDescent="0.25">
      <c r="A2133" s="62" t="s">
        <v>4829</v>
      </c>
      <c r="B2133" s="63" t="s">
        <v>4830</v>
      </c>
      <c r="C2133" s="79" t="s">
        <v>8522</v>
      </c>
    </row>
    <row r="2134" spans="1:3" x14ac:dyDescent="0.25">
      <c r="A2134" s="62" t="s">
        <v>4831</v>
      </c>
      <c r="B2134" s="63" t="s">
        <v>4832</v>
      </c>
      <c r="C2134" s="79" t="s">
        <v>8522</v>
      </c>
    </row>
    <row r="2135" spans="1:3" x14ac:dyDescent="0.25">
      <c r="A2135" s="62" t="s">
        <v>4833</v>
      </c>
      <c r="B2135" s="63" t="s">
        <v>4834</v>
      </c>
      <c r="C2135" s="79" t="s">
        <v>8522</v>
      </c>
    </row>
    <row r="2136" spans="1:3" x14ac:dyDescent="0.25">
      <c r="A2136" s="62" t="s">
        <v>4835</v>
      </c>
      <c r="B2136" s="63" t="s">
        <v>4836</v>
      </c>
      <c r="C2136" s="79" t="s">
        <v>8422</v>
      </c>
    </row>
    <row r="2137" spans="1:3" x14ac:dyDescent="0.25">
      <c r="A2137" s="62" t="s">
        <v>4837</v>
      </c>
      <c r="B2137" s="63" t="s">
        <v>4838</v>
      </c>
      <c r="C2137" s="79" t="s">
        <v>8422</v>
      </c>
    </row>
    <row r="2138" spans="1:3" x14ac:dyDescent="0.25">
      <c r="A2138" s="62" t="s">
        <v>4839</v>
      </c>
      <c r="B2138" s="63" t="s">
        <v>4840</v>
      </c>
      <c r="C2138" s="79" t="s">
        <v>8422</v>
      </c>
    </row>
    <row r="2139" spans="1:3" x14ac:dyDescent="0.25">
      <c r="A2139" s="62" t="s">
        <v>4841</v>
      </c>
      <c r="B2139" s="63" t="s">
        <v>4842</v>
      </c>
      <c r="C2139" s="79" t="s">
        <v>8422</v>
      </c>
    </row>
    <row r="2140" spans="1:3" x14ac:dyDescent="0.25">
      <c r="A2140" s="62" t="s">
        <v>4843</v>
      </c>
      <c r="B2140" s="63" t="s">
        <v>4844</v>
      </c>
      <c r="C2140" s="79" t="s">
        <v>8422</v>
      </c>
    </row>
    <row r="2141" spans="1:3" x14ac:dyDescent="0.25">
      <c r="A2141" s="62" t="s">
        <v>4845</v>
      </c>
      <c r="B2141" s="63" t="s">
        <v>4846</v>
      </c>
      <c r="C2141" s="79" t="s">
        <v>8422</v>
      </c>
    </row>
    <row r="2142" spans="1:3" x14ac:dyDescent="0.25">
      <c r="A2142" s="62" t="s">
        <v>4847</v>
      </c>
      <c r="B2142" s="63" t="s">
        <v>4848</v>
      </c>
      <c r="C2142" s="79" t="s">
        <v>8422</v>
      </c>
    </row>
    <row r="2143" spans="1:3" x14ac:dyDescent="0.25">
      <c r="A2143" s="62" t="s">
        <v>4849</v>
      </c>
      <c r="B2143" s="63" t="s">
        <v>4850</v>
      </c>
      <c r="C2143" s="79" t="s">
        <v>8422</v>
      </c>
    </row>
    <row r="2144" spans="1:3" x14ac:dyDescent="0.25">
      <c r="A2144" s="62" t="s">
        <v>4851</v>
      </c>
      <c r="B2144" s="63" t="s">
        <v>4852</v>
      </c>
      <c r="C2144" s="79" t="s">
        <v>8422</v>
      </c>
    </row>
    <row r="2145" spans="1:3" x14ac:dyDescent="0.25">
      <c r="A2145" s="62" t="s">
        <v>4853</v>
      </c>
      <c r="B2145" s="63" t="s">
        <v>4854</v>
      </c>
      <c r="C2145" s="79" t="s">
        <v>8422</v>
      </c>
    </row>
    <row r="2146" spans="1:3" x14ac:dyDescent="0.25">
      <c r="A2146" s="62" t="s">
        <v>4855</v>
      </c>
      <c r="B2146" s="63" t="s">
        <v>4856</v>
      </c>
      <c r="C2146" s="79" t="s">
        <v>8422</v>
      </c>
    </row>
    <row r="2147" spans="1:3" x14ac:dyDescent="0.25">
      <c r="A2147" s="62" t="s">
        <v>4857</v>
      </c>
      <c r="B2147" s="63" t="s">
        <v>4858</v>
      </c>
      <c r="C2147" s="79" t="s">
        <v>8422</v>
      </c>
    </row>
    <row r="2148" spans="1:3" x14ac:dyDescent="0.25">
      <c r="A2148" s="62" t="s">
        <v>4859</v>
      </c>
      <c r="B2148" s="63" t="s">
        <v>4860</v>
      </c>
      <c r="C2148" s="79" t="s">
        <v>8422</v>
      </c>
    </row>
    <row r="2149" spans="1:3" x14ac:dyDescent="0.25">
      <c r="A2149" s="62" t="s">
        <v>4861</v>
      </c>
      <c r="B2149" s="63" t="s">
        <v>4862</v>
      </c>
      <c r="C2149" s="79" t="s">
        <v>8422</v>
      </c>
    </row>
    <row r="2150" spans="1:3" x14ac:dyDescent="0.25">
      <c r="A2150" s="62" t="s">
        <v>4863</v>
      </c>
      <c r="B2150" s="63" t="s">
        <v>4864</v>
      </c>
      <c r="C2150" s="79" t="s">
        <v>8660</v>
      </c>
    </row>
    <row r="2151" spans="1:3" x14ac:dyDescent="0.25">
      <c r="A2151" s="62" t="s">
        <v>4865</v>
      </c>
      <c r="B2151" s="63" t="s">
        <v>4866</v>
      </c>
      <c r="C2151" s="79" t="s">
        <v>8824</v>
      </c>
    </row>
    <row r="2152" spans="1:3" x14ac:dyDescent="0.25">
      <c r="A2152" s="62" t="s">
        <v>4867</v>
      </c>
      <c r="B2152" s="63" t="s">
        <v>4868</v>
      </c>
      <c r="C2152" s="79" t="s">
        <v>8824</v>
      </c>
    </row>
    <row r="2153" spans="1:3" x14ac:dyDescent="0.25">
      <c r="A2153" s="62" t="s">
        <v>4869</v>
      </c>
      <c r="B2153" s="63" t="s">
        <v>4870</v>
      </c>
      <c r="C2153" s="79" t="s">
        <v>8824</v>
      </c>
    </row>
    <row r="2154" spans="1:3" x14ac:dyDescent="0.25">
      <c r="A2154" s="62" t="s">
        <v>4871</v>
      </c>
      <c r="B2154" s="63" t="s">
        <v>4872</v>
      </c>
      <c r="C2154" s="79" t="s">
        <v>8824</v>
      </c>
    </row>
    <row r="2155" spans="1:3" ht="31.5" x14ac:dyDescent="0.25">
      <c r="A2155" s="62" t="s">
        <v>4873</v>
      </c>
      <c r="B2155" s="63" t="s">
        <v>4874</v>
      </c>
      <c r="C2155" s="79" t="s">
        <v>8608</v>
      </c>
    </row>
    <row r="2156" spans="1:3" ht="31.5" x14ac:dyDescent="0.25">
      <c r="A2156" s="62" t="s">
        <v>4875</v>
      </c>
      <c r="B2156" s="63" t="s">
        <v>4876</v>
      </c>
      <c r="C2156" s="79" t="s">
        <v>8608</v>
      </c>
    </row>
    <row r="2157" spans="1:3" ht="31.5" x14ac:dyDescent="0.25">
      <c r="A2157" s="62" t="s">
        <v>4877</v>
      </c>
      <c r="B2157" s="63" t="s">
        <v>4878</v>
      </c>
      <c r="C2157" s="79" t="s">
        <v>8608</v>
      </c>
    </row>
    <row r="2158" spans="1:3" ht="31.5" x14ac:dyDescent="0.25">
      <c r="A2158" s="62" t="s">
        <v>4879</v>
      </c>
      <c r="B2158" s="63" t="s">
        <v>4880</v>
      </c>
      <c r="C2158" s="79" t="s">
        <v>8608</v>
      </c>
    </row>
    <row r="2159" spans="1:3" ht="31.5" x14ac:dyDescent="0.25">
      <c r="A2159" s="62" t="s">
        <v>4881</v>
      </c>
      <c r="B2159" s="63" t="s">
        <v>4882</v>
      </c>
      <c r="C2159" s="79" t="s">
        <v>8608</v>
      </c>
    </row>
    <row r="2160" spans="1:3" ht="31.5" x14ac:dyDescent="0.25">
      <c r="A2160" s="62" t="s">
        <v>4883</v>
      </c>
      <c r="B2160" s="63" t="s">
        <v>4884</v>
      </c>
      <c r="C2160" s="79" t="s">
        <v>8608</v>
      </c>
    </row>
    <row r="2161" spans="1:3" ht="31.5" x14ac:dyDescent="0.25">
      <c r="A2161" s="62" t="s">
        <v>4885</v>
      </c>
      <c r="B2161" s="63" t="s">
        <v>4886</v>
      </c>
      <c r="C2161" s="79" t="s">
        <v>8608</v>
      </c>
    </row>
    <row r="2162" spans="1:3" ht="31.5" x14ac:dyDescent="0.25">
      <c r="A2162" s="62" t="s">
        <v>4887</v>
      </c>
      <c r="B2162" s="63" t="s">
        <v>4888</v>
      </c>
      <c r="C2162" s="79" t="s">
        <v>8608</v>
      </c>
    </row>
    <row r="2163" spans="1:3" ht="31.5" x14ac:dyDescent="0.25">
      <c r="A2163" s="62" t="s">
        <v>4889</v>
      </c>
      <c r="B2163" s="63" t="s">
        <v>4890</v>
      </c>
      <c r="C2163" s="79" t="s">
        <v>8608</v>
      </c>
    </row>
    <row r="2164" spans="1:3" ht="31.5" x14ac:dyDescent="0.25">
      <c r="A2164" s="62" t="s">
        <v>4891</v>
      </c>
      <c r="B2164" s="63" t="s">
        <v>4892</v>
      </c>
      <c r="C2164" s="79" t="s">
        <v>8608</v>
      </c>
    </row>
    <row r="2165" spans="1:3" ht="31.5" x14ac:dyDescent="0.25">
      <c r="A2165" s="62" t="s">
        <v>4893</v>
      </c>
      <c r="B2165" s="63" t="s">
        <v>4892</v>
      </c>
      <c r="C2165" s="79" t="s">
        <v>8608</v>
      </c>
    </row>
    <row r="2166" spans="1:3" ht="31.5" x14ac:dyDescent="0.25">
      <c r="A2166" s="62" t="s">
        <v>4894</v>
      </c>
      <c r="B2166" s="63" t="s">
        <v>4895</v>
      </c>
      <c r="C2166" s="79" t="s">
        <v>8608</v>
      </c>
    </row>
    <row r="2167" spans="1:3" x14ac:dyDescent="0.25">
      <c r="A2167" s="62" t="s">
        <v>4896</v>
      </c>
      <c r="B2167" s="63" t="s">
        <v>4897</v>
      </c>
      <c r="C2167" s="79" t="s">
        <v>8449</v>
      </c>
    </row>
    <row r="2168" spans="1:3" x14ac:dyDescent="0.25">
      <c r="A2168" s="62" t="s">
        <v>4898</v>
      </c>
      <c r="B2168" s="63" t="s">
        <v>4899</v>
      </c>
      <c r="C2168" s="79" t="s">
        <v>8449</v>
      </c>
    </row>
    <row r="2169" spans="1:3" x14ac:dyDescent="0.25">
      <c r="A2169" s="62" t="s">
        <v>4900</v>
      </c>
      <c r="B2169" s="63" t="s">
        <v>4901</v>
      </c>
      <c r="C2169" s="79" t="s">
        <v>8449</v>
      </c>
    </row>
    <row r="2170" spans="1:3" x14ac:dyDescent="0.25">
      <c r="A2170" s="62" t="s">
        <v>4902</v>
      </c>
      <c r="B2170" s="63" t="s">
        <v>4903</v>
      </c>
      <c r="C2170" s="79" t="s">
        <v>8449</v>
      </c>
    </row>
    <row r="2171" spans="1:3" ht="31.5" x14ac:dyDescent="0.25">
      <c r="A2171" s="62" t="s">
        <v>4904</v>
      </c>
      <c r="B2171" s="63" t="s">
        <v>4905</v>
      </c>
      <c r="C2171" s="79" t="s">
        <v>8449</v>
      </c>
    </row>
    <row r="2172" spans="1:3" x14ac:dyDescent="0.25">
      <c r="A2172" s="62" t="s">
        <v>4906</v>
      </c>
      <c r="B2172" s="63" t="s">
        <v>4907</v>
      </c>
      <c r="C2172" s="79" t="s">
        <v>8449</v>
      </c>
    </row>
    <row r="2173" spans="1:3" ht="31.5" x14ac:dyDescent="0.25">
      <c r="A2173" s="62" t="s">
        <v>4908</v>
      </c>
      <c r="B2173" s="63" t="s">
        <v>4909</v>
      </c>
      <c r="C2173" s="79" t="s">
        <v>8449</v>
      </c>
    </row>
    <row r="2174" spans="1:3" ht="31.5" x14ac:dyDescent="0.25">
      <c r="A2174" s="62" t="s">
        <v>4910</v>
      </c>
      <c r="B2174" s="63" t="s">
        <v>4911</v>
      </c>
      <c r="C2174" s="79" t="s">
        <v>8449</v>
      </c>
    </row>
    <row r="2175" spans="1:3" ht="31.5" x14ac:dyDescent="0.25">
      <c r="A2175" s="62" t="s">
        <v>4912</v>
      </c>
      <c r="B2175" s="63" t="s">
        <v>4913</v>
      </c>
      <c r="C2175" s="79" t="s">
        <v>8449</v>
      </c>
    </row>
    <row r="2176" spans="1:3" ht="31.5" x14ac:dyDescent="0.25">
      <c r="A2176" s="62" t="s">
        <v>4914</v>
      </c>
      <c r="B2176" s="63" t="s">
        <v>4915</v>
      </c>
      <c r="C2176" s="79" t="s">
        <v>8449</v>
      </c>
    </row>
    <row r="2177" spans="1:3" x14ac:dyDescent="0.25">
      <c r="A2177" s="62" t="s">
        <v>4916</v>
      </c>
      <c r="B2177" s="63" t="s">
        <v>4917</v>
      </c>
      <c r="C2177" s="79" t="s">
        <v>8449</v>
      </c>
    </row>
    <row r="2178" spans="1:3" x14ac:dyDescent="0.25">
      <c r="A2178" s="62" t="s">
        <v>4918</v>
      </c>
      <c r="B2178" s="63" t="s">
        <v>4919</v>
      </c>
      <c r="C2178" s="79" t="s">
        <v>8449</v>
      </c>
    </row>
    <row r="2179" spans="1:3" x14ac:dyDescent="0.25">
      <c r="A2179" s="62" t="s">
        <v>4920</v>
      </c>
      <c r="B2179" s="63" t="s">
        <v>4921</v>
      </c>
      <c r="C2179" s="79" t="s">
        <v>8449</v>
      </c>
    </row>
    <row r="2180" spans="1:3" ht="31.5" x14ac:dyDescent="0.25">
      <c r="A2180" s="62" t="s">
        <v>4922</v>
      </c>
      <c r="B2180" s="63" t="s">
        <v>4923</v>
      </c>
      <c r="C2180" s="79" t="s">
        <v>8449</v>
      </c>
    </row>
    <row r="2181" spans="1:3" x14ac:dyDescent="0.25">
      <c r="A2181" s="62" t="s">
        <v>4924</v>
      </c>
      <c r="B2181" s="63" t="s">
        <v>4925</v>
      </c>
      <c r="C2181" s="79" t="s">
        <v>8608</v>
      </c>
    </row>
    <row r="2182" spans="1:3" ht="31.5" x14ac:dyDescent="0.25">
      <c r="A2182" s="62" t="s">
        <v>4926</v>
      </c>
      <c r="B2182" s="63" t="s">
        <v>4927</v>
      </c>
      <c r="C2182" s="79" t="s">
        <v>8608</v>
      </c>
    </row>
    <row r="2183" spans="1:3" ht="31.5" x14ac:dyDescent="0.25">
      <c r="A2183" s="62" t="s">
        <v>4928</v>
      </c>
      <c r="B2183" s="63" t="s">
        <v>4929</v>
      </c>
      <c r="C2183" s="79" t="s">
        <v>8608</v>
      </c>
    </row>
    <row r="2184" spans="1:3" ht="31.5" x14ac:dyDescent="0.25">
      <c r="A2184" s="62" t="s">
        <v>4930</v>
      </c>
      <c r="B2184" s="63" t="s">
        <v>4931</v>
      </c>
      <c r="C2184" s="79" t="s">
        <v>8608</v>
      </c>
    </row>
    <row r="2185" spans="1:3" ht="31.5" x14ac:dyDescent="0.25">
      <c r="A2185" s="62" t="s">
        <v>4932</v>
      </c>
      <c r="B2185" s="63" t="s">
        <v>4933</v>
      </c>
      <c r="C2185" s="79" t="s">
        <v>8608</v>
      </c>
    </row>
    <row r="2186" spans="1:3" ht="31.5" x14ac:dyDescent="0.25">
      <c r="A2186" s="62" t="s">
        <v>4934</v>
      </c>
      <c r="B2186" s="63" t="s">
        <v>4935</v>
      </c>
      <c r="C2186" s="79" t="s">
        <v>8897</v>
      </c>
    </row>
    <row r="2187" spans="1:3" ht="31.5" x14ac:dyDescent="0.25">
      <c r="A2187" s="62" t="s">
        <v>4936</v>
      </c>
      <c r="B2187" s="63" t="s">
        <v>4937</v>
      </c>
      <c r="C2187" s="79" t="s">
        <v>8897</v>
      </c>
    </row>
    <row r="2188" spans="1:3" ht="31.5" x14ac:dyDescent="0.25">
      <c r="A2188" s="62" t="s">
        <v>4938</v>
      </c>
      <c r="B2188" s="63" t="s">
        <v>4939</v>
      </c>
      <c r="C2188" s="79" t="s">
        <v>8897</v>
      </c>
    </row>
    <row r="2189" spans="1:3" ht="31.5" x14ac:dyDescent="0.25">
      <c r="A2189" s="62" t="s">
        <v>4940</v>
      </c>
      <c r="B2189" s="63" t="s">
        <v>4941</v>
      </c>
      <c r="C2189" s="79" t="s">
        <v>8897</v>
      </c>
    </row>
    <row r="2190" spans="1:3" ht="31.5" x14ac:dyDescent="0.25">
      <c r="A2190" s="62" t="s">
        <v>4942</v>
      </c>
      <c r="B2190" s="63" t="s">
        <v>4943</v>
      </c>
      <c r="C2190" s="79" t="s">
        <v>8897</v>
      </c>
    </row>
    <row r="2191" spans="1:3" ht="31.5" x14ac:dyDescent="0.25">
      <c r="A2191" s="62" t="s">
        <v>4944</v>
      </c>
      <c r="B2191" s="63" t="s">
        <v>4945</v>
      </c>
      <c r="C2191" s="79" t="s">
        <v>8897</v>
      </c>
    </row>
    <row r="2192" spans="1:3" x14ac:dyDescent="0.25">
      <c r="A2192" s="62" t="s">
        <v>4946</v>
      </c>
      <c r="B2192" s="63" t="s">
        <v>4947</v>
      </c>
      <c r="C2192" s="79" t="s">
        <v>8898</v>
      </c>
    </row>
    <row r="2193" spans="1:3" x14ac:dyDescent="0.25">
      <c r="A2193" s="62" t="s">
        <v>4948</v>
      </c>
      <c r="B2193" s="63" t="s">
        <v>4949</v>
      </c>
      <c r="C2193" s="79" t="s">
        <v>8898</v>
      </c>
    </row>
    <row r="2194" spans="1:3" x14ac:dyDescent="0.25">
      <c r="A2194" s="62" t="s">
        <v>4950</v>
      </c>
      <c r="B2194" s="63" t="s">
        <v>4951</v>
      </c>
      <c r="C2194" s="79" t="s">
        <v>8449</v>
      </c>
    </row>
    <row r="2195" spans="1:3" ht="31.5" x14ac:dyDescent="0.25">
      <c r="A2195" s="62" t="s">
        <v>4952</v>
      </c>
      <c r="B2195" s="63" t="s">
        <v>4953</v>
      </c>
      <c r="C2195" s="79" t="s">
        <v>8449</v>
      </c>
    </row>
    <row r="2196" spans="1:3" x14ac:dyDescent="0.25">
      <c r="A2196" s="62" t="s">
        <v>4954</v>
      </c>
      <c r="B2196" s="63" t="s">
        <v>4955</v>
      </c>
      <c r="C2196" s="79" t="s">
        <v>8608</v>
      </c>
    </row>
    <row r="2197" spans="1:3" x14ac:dyDescent="0.25">
      <c r="A2197" s="62" t="s">
        <v>4956</v>
      </c>
      <c r="B2197" s="63" t="s">
        <v>4957</v>
      </c>
      <c r="C2197" s="79" t="s">
        <v>8608</v>
      </c>
    </row>
    <row r="2198" spans="1:3" ht="31.5" x14ac:dyDescent="0.25">
      <c r="A2198" s="62" t="s">
        <v>4958</v>
      </c>
      <c r="B2198" s="63" t="s">
        <v>4959</v>
      </c>
      <c r="C2198" s="79" t="s">
        <v>8608</v>
      </c>
    </row>
    <row r="2199" spans="1:3" ht="31.5" x14ac:dyDescent="0.25">
      <c r="A2199" s="62" t="s">
        <v>4960</v>
      </c>
      <c r="B2199" s="63" t="s">
        <v>4961</v>
      </c>
      <c r="C2199" s="79" t="s">
        <v>8608</v>
      </c>
    </row>
    <row r="2200" spans="1:3" ht="31.5" x14ac:dyDescent="0.25">
      <c r="A2200" s="62" t="s">
        <v>4962</v>
      </c>
      <c r="B2200" s="63" t="s">
        <v>4963</v>
      </c>
      <c r="C2200" s="79" t="s">
        <v>8608</v>
      </c>
    </row>
    <row r="2201" spans="1:3" ht="31.5" x14ac:dyDescent="0.25">
      <c r="A2201" s="62" t="s">
        <v>4964</v>
      </c>
      <c r="B2201" s="63" t="s">
        <v>4965</v>
      </c>
      <c r="C2201" s="79" t="s">
        <v>8608</v>
      </c>
    </row>
    <row r="2202" spans="1:3" ht="31.5" x14ac:dyDescent="0.25">
      <c r="A2202" s="62" t="s">
        <v>4966</v>
      </c>
      <c r="B2202" s="63" t="s">
        <v>4967</v>
      </c>
      <c r="C2202" s="79" t="s">
        <v>8608</v>
      </c>
    </row>
    <row r="2203" spans="1:3" ht="31.5" x14ac:dyDescent="0.25">
      <c r="A2203" s="62" t="s">
        <v>4968</v>
      </c>
      <c r="B2203" s="63" t="s">
        <v>4969</v>
      </c>
      <c r="C2203" s="79" t="s">
        <v>8608</v>
      </c>
    </row>
    <row r="2204" spans="1:3" ht="31.5" x14ac:dyDescent="0.25">
      <c r="A2204" s="62" t="s">
        <v>4970</v>
      </c>
      <c r="B2204" s="63" t="s">
        <v>4971</v>
      </c>
      <c r="C2204" s="79" t="s">
        <v>8608</v>
      </c>
    </row>
    <row r="2205" spans="1:3" x14ac:dyDescent="0.25">
      <c r="A2205" s="62" t="s">
        <v>4972</v>
      </c>
      <c r="B2205" s="63" t="s">
        <v>4973</v>
      </c>
      <c r="C2205" s="79" t="s">
        <v>8608</v>
      </c>
    </row>
    <row r="2206" spans="1:3" ht="31.5" x14ac:dyDescent="0.25">
      <c r="A2206" s="62" t="s">
        <v>4974</v>
      </c>
      <c r="B2206" s="63" t="s">
        <v>4975</v>
      </c>
      <c r="C2206" s="79" t="s">
        <v>8608</v>
      </c>
    </row>
    <row r="2207" spans="1:3" ht="31.5" x14ac:dyDescent="0.25">
      <c r="A2207" s="62" t="s">
        <v>4976</v>
      </c>
      <c r="B2207" s="63" t="s">
        <v>4977</v>
      </c>
      <c r="C2207" s="79" t="s">
        <v>8608</v>
      </c>
    </row>
    <row r="2208" spans="1:3" ht="31.5" x14ac:dyDescent="0.25">
      <c r="A2208" s="62" t="s">
        <v>4978</v>
      </c>
      <c r="B2208" s="63" t="s">
        <v>4979</v>
      </c>
      <c r="C2208" s="79" t="s">
        <v>8608</v>
      </c>
    </row>
    <row r="2209" spans="1:3" ht="31.5" x14ac:dyDescent="0.25">
      <c r="A2209" s="62" t="s">
        <v>4980</v>
      </c>
      <c r="B2209" s="63" t="s">
        <v>4981</v>
      </c>
      <c r="C2209" s="79" t="s">
        <v>8608</v>
      </c>
    </row>
    <row r="2210" spans="1:3" ht="31.5" x14ac:dyDescent="0.25">
      <c r="A2210" s="62" t="s">
        <v>4982</v>
      </c>
      <c r="B2210" s="63" t="s">
        <v>4983</v>
      </c>
      <c r="C2210" s="79" t="s">
        <v>8608</v>
      </c>
    </row>
    <row r="2211" spans="1:3" ht="31.5" x14ac:dyDescent="0.25">
      <c r="A2211" s="62" t="s">
        <v>4984</v>
      </c>
      <c r="B2211" s="63" t="s">
        <v>4985</v>
      </c>
      <c r="C2211" s="79" t="s">
        <v>8608</v>
      </c>
    </row>
    <row r="2212" spans="1:3" ht="31.5" x14ac:dyDescent="0.25">
      <c r="A2212" s="62" t="s">
        <v>4986</v>
      </c>
      <c r="B2212" s="63" t="s">
        <v>4987</v>
      </c>
      <c r="C2212" s="79" t="s">
        <v>8608</v>
      </c>
    </row>
    <row r="2213" spans="1:3" ht="31.5" x14ac:dyDescent="0.25">
      <c r="A2213" s="62" t="s">
        <v>4988</v>
      </c>
      <c r="B2213" s="63" t="s">
        <v>4989</v>
      </c>
      <c r="C2213" s="79" t="s">
        <v>8608</v>
      </c>
    </row>
    <row r="2214" spans="1:3" ht="31.5" x14ac:dyDescent="0.25">
      <c r="A2214" s="62" t="s">
        <v>4990</v>
      </c>
      <c r="B2214" s="63" t="s">
        <v>4991</v>
      </c>
      <c r="C2214" s="79" t="s">
        <v>8608</v>
      </c>
    </row>
    <row r="2215" spans="1:3" ht="31.5" x14ac:dyDescent="0.25">
      <c r="A2215" s="62" t="s">
        <v>4992</v>
      </c>
      <c r="B2215" s="63" t="s">
        <v>4993</v>
      </c>
      <c r="C2215" s="79" t="s">
        <v>8608</v>
      </c>
    </row>
    <row r="2216" spans="1:3" x14ac:dyDescent="0.25">
      <c r="A2216" s="62" t="s">
        <v>4994</v>
      </c>
      <c r="B2216" s="63" t="s">
        <v>4995</v>
      </c>
      <c r="C2216" s="79" t="s">
        <v>8435</v>
      </c>
    </row>
    <row r="2217" spans="1:3" x14ac:dyDescent="0.25">
      <c r="A2217" s="62" t="s">
        <v>4996</v>
      </c>
      <c r="B2217" s="63" t="s">
        <v>4997</v>
      </c>
      <c r="C2217" s="79" t="s">
        <v>8435</v>
      </c>
    </row>
    <row r="2218" spans="1:3" x14ac:dyDescent="0.25">
      <c r="A2218" s="62" t="s">
        <v>4998</v>
      </c>
      <c r="B2218" s="63" t="s">
        <v>4999</v>
      </c>
      <c r="C2218" s="79" t="s">
        <v>8841</v>
      </c>
    </row>
    <row r="2219" spans="1:3" x14ac:dyDescent="0.25">
      <c r="A2219" s="62" t="s">
        <v>5000</v>
      </c>
      <c r="B2219" s="63" t="s">
        <v>5001</v>
      </c>
      <c r="C2219" s="79" t="s">
        <v>8841</v>
      </c>
    </row>
    <row r="2220" spans="1:3" x14ac:dyDescent="0.25">
      <c r="A2220" s="62" t="s">
        <v>5002</v>
      </c>
      <c r="B2220" s="63" t="s">
        <v>5003</v>
      </c>
      <c r="C2220" s="79" t="s">
        <v>8841</v>
      </c>
    </row>
    <row r="2221" spans="1:3" x14ac:dyDescent="0.25">
      <c r="A2221" s="62" t="s">
        <v>5004</v>
      </c>
      <c r="B2221" s="63" t="s">
        <v>5005</v>
      </c>
      <c r="C2221" s="79" t="s">
        <v>8841</v>
      </c>
    </row>
    <row r="2222" spans="1:3" x14ac:dyDescent="0.25">
      <c r="A2222" s="62" t="s">
        <v>5006</v>
      </c>
      <c r="B2222" s="63" t="s">
        <v>5007</v>
      </c>
      <c r="C2222" s="79" t="s">
        <v>8841</v>
      </c>
    </row>
    <row r="2223" spans="1:3" x14ac:dyDescent="0.25">
      <c r="A2223" s="62" t="s">
        <v>5008</v>
      </c>
      <c r="B2223" s="63" t="s">
        <v>5009</v>
      </c>
      <c r="C2223" s="79" t="s">
        <v>8841</v>
      </c>
    </row>
    <row r="2224" spans="1:3" x14ac:dyDescent="0.25">
      <c r="A2224" s="62" t="s">
        <v>5010</v>
      </c>
      <c r="B2224" s="63" t="s">
        <v>5011</v>
      </c>
      <c r="C2224" s="79" t="s">
        <v>8841</v>
      </c>
    </row>
    <row r="2225" spans="1:3" x14ac:dyDescent="0.25">
      <c r="A2225" s="62" t="s">
        <v>5012</v>
      </c>
      <c r="B2225" s="63" t="s">
        <v>5013</v>
      </c>
      <c r="C2225" s="79" t="s">
        <v>8841</v>
      </c>
    </row>
    <row r="2226" spans="1:3" x14ac:dyDescent="0.25">
      <c r="A2226" s="62" t="s">
        <v>5014</v>
      </c>
      <c r="B2226" s="63" t="s">
        <v>5015</v>
      </c>
      <c r="C2226" s="79" t="s">
        <v>8841</v>
      </c>
    </row>
    <row r="2227" spans="1:3" x14ac:dyDescent="0.25">
      <c r="A2227" s="62" t="s">
        <v>5016</v>
      </c>
      <c r="B2227" s="63" t="s">
        <v>5017</v>
      </c>
      <c r="C2227" s="79" t="s">
        <v>8841</v>
      </c>
    </row>
    <row r="2228" spans="1:3" x14ac:dyDescent="0.25">
      <c r="A2228" s="62" t="s">
        <v>5018</v>
      </c>
      <c r="B2228" s="63" t="s">
        <v>5019</v>
      </c>
      <c r="C2228" s="79" t="s">
        <v>8899</v>
      </c>
    </row>
    <row r="2229" spans="1:3" x14ac:dyDescent="0.25">
      <c r="A2229" s="62" t="s">
        <v>5020</v>
      </c>
      <c r="B2229" s="63" t="s">
        <v>5021</v>
      </c>
      <c r="C2229" s="79" t="s">
        <v>8899</v>
      </c>
    </row>
    <row r="2230" spans="1:3" x14ac:dyDescent="0.25">
      <c r="A2230" s="62" t="s">
        <v>5022</v>
      </c>
      <c r="B2230" s="63" t="s">
        <v>5023</v>
      </c>
      <c r="C2230" s="79" t="s">
        <v>8899</v>
      </c>
    </row>
    <row r="2231" spans="1:3" x14ac:dyDescent="0.25">
      <c r="A2231" s="62" t="s">
        <v>5024</v>
      </c>
      <c r="B2231" s="63" t="s">
        <v>5025</v>
      </c>
      <c r="C2231" s="79" t="s">
        <v>8899</v>
      </c>
    </row>
    <row r="2232" spans="1:3" x14ac:dyDescent="0.25">
      <c r="A2232" s="62" t="s">
        <v>5026</v>
      </c>
      <c r="B2232" s="63" t="s">
        <v>5027</v>
      </c>
      <c r="C2232" s="79" t="s">
        <v>8899</v>
      </c>
    </row>
    <row r="2233" spans="1:3" x14ac:dyDescent="0.25">
      <c r="A2233" s="62" t="s">
        <v>5028</v>
      </c>
      <c r="B2233" s="63" t="s">
        <v>5029</v>
      </c>
      <c r="C2233" s="79" t="s">
        <v>8900</v>
      </c>
    </row>
    <row r="2234" spans="1:3" x14ac:dyDescent="0.25">
      <c r="A2234" s="62" t="s">
        <v>5030</v>
      </c>
      <c r="B2234" s="63" t="s">
        <v>5031</v>
      </c>
      <c r="C2234" s="79" t="s">
        <v>8900</v>
      </c>
    </row>
    <row r="2235" spans="1:3" x14ac:dyDescent="0.25">
      <c r="A2235" s="62" t="s">
        <v>5032</v>
      </c>
      <c r="B2235" s="63" t="s">
        <v>5033</v>
      </c>
      <c r="C2235" s="79" t="s">
        <v>8900</v>
      </c>
    </row>
    <row r="2236" spans="1:3" x14ac:dyDescent="0.25">
      <c r="A2236" s="62" t="s">
        <v>5034</v>
      </c>
      <c r="B2236" s="63" t="s">
        <v>5035</v>
      </c>
      <c r="C2236" s="79" t="s">
        <v>8900</v>
      </c>
    </row>
    <row r="2237" spans="1:3" x14ac:dyDescent="0.25">
      <c r="A2237" s="62" t="s">
        <v>5036</v>
      </c>
      <c r="B2237" s="63" t="s">
        <v>5037</v>
      </c>
      <c r="C2237" s="79" t="s">
        <v>8900</v>
      </c>
    </row>
    <row r="2238" spans="1:3" x14ac:dyDescent="0.25">
      <c r="A2238" s="62" t="s">
        <v>5038</v>
      </c>
      <c r="B2238" s="63" t="s">
        <v>5039</v>
      </c>
      <c r="C2238" s="79" t="s">
        <v>8756</v>
      </c>
    </row>
    <row r="2239" spans="1:3" x14ac:dyDescent="0.25">
      <c r="A2239" s="62" t="s">
        <v>5040</v>
      </c>
      <c r="B2239" s="63" t="s">
        <v>5041</v>
      </c>
      <c r="C2239" s="79" t="s">
        <v>8756</v>
      </c>
    </row>
    <row r="2240" spans="1:3" x14ac:dyDescent="0.25">
      <c r="A2240" s="62" t="s">
        <v>5042</v>
      </c>
      <c r="B2240" s="63" t="s">
        <v>5043</v>
      </c>
      <c r="C2240" s="79" t="s">
        <v>8756</v>
      </c>
    </row>
    <row r="2241" spans="1:3" x14ac:dyDescent="0.25">
      <c r="A2241" s="62" t="s">
        <v>5044</v>
      </c>
      <c r="B2241" s="63" t="s">
        <v>5045</v>
      </c>
      <c r="C2241" s="79" t="s">
        <v>8756</v>
      </c>
    </row>
    <row r="2242" spans="1:3" x14ac:dyDescent="0.25">
      <c r="A2242" s="62" t="s">
        <v>5046</v>
      </c>
      <c r="B2242" s="63" t="s">
        <v>5047</v>
      </c>
      <c r="C2242" s="79" t="s">
        <v>8756</v>
      </c>
    </row>
    <row r="2243" spans="1:3" x14ac:dyDescent="0.25">
      <c r="A2243" s="62" t="s">
        <v>5048</v>
      </c>
      <c r="B2243" s="63" t="s">
        <v>5049</v>
      </c>
      <c r="C2243" s="79" t="s">
        <v>8756</v>
      </c>
    </row>
    <row r="2244" spans="1:3" x14ac:dyDescent="0.25">
      <c r="A2244" s="62" t="s">
        <v>5050</v>
      </c>
      <c r="B2244" s="63" t="s">
        <v>5051</v>
      </c>
      <c r="C2244" s="79" t="s">
        <v>8756</v>
      </c>
    </row>
    <row r="2245" spans="1:3" x14ac:dyDescent="0.25">
      <c r="A2245" s="62" t="s">
        <v>5052</v>
      </c>
      <c r="B2245" s="63" t="s">
        <v>5053</v>
      </c>
      <c r="C2245" s="79" t="s">
        <v>8756</v>
      </c>
    </row>
    <row r="2246" spans="1:3" x14ac:dyDescent="0.25">
      <c r="A2246" s="62" t="s">
        <v>5054</v>
      </c>
      <c r="B2246" s="63" t="s">
        <v>5055</v>
      </c>
      <c r="C2246" s="79" t="s">
        <v>8756</v>
      </c>
    </row>
    <row r="2247" spans="1:3" x14ac:dyDescent="0.25">
      <c r="A2247" s="62" t="s">
        <v>5056</v>
      </c>
      <c r="B2247" s="63" t="s">
        <v>5057</v>
      </c>
      <c r="C2247" s="79" t="s">
        <v>8756</v>
      </c>
    </row>
    <row r="2248" spans="1:3" x14ac:dyDescent="0.25">
      <c r="A2248" s="62" t="s">
        <v>5058</v>
      </c>
      <c r="B2248" s="63" t="s">
        <v>5059</v>
      </c>
      <c r="C2248" s="79" t="s">
        <v>8901</v>
      </c>
    </row>
    <row r="2249" spans="1:3" x14ac:dyDescent="0.25">
      <c r="A2249" s="62" t="s">
        <v>5060</v>
      </c>
      <c r="B2249" s="63" t="s">
        <v>5061</v>
      </c>
      <c r="C2249" s="79" t="s">
        <v>8902</v>
      </c>
    </row>
    <row r="2250" spans="1:3" x14ac:dyDescent="0.25">
      <c r="A2250" s="62" t="s">
        <v>5062</v>
      </c>
      <c r="B2250" s="63" t="s">
        <v>5063</v>
      </c>
      <c r="C2250" s="79" t="s">
        <v>8901</v>
      </c>
    </row>
    <row r="2251" spans="1:3" x14ac:dyDescent="0.25">
      <c r="A2251" s="62" t="s">
        <v>5064</v>
      </c>
      <c r="B2251" s="63" t="s">
        <v>5065</v>
      </c>
      <c r="C2251" s="79" t="s">
        <v>8902</v>
      </c>
    </row>
    <row r="2252" spans="1:3" x14ac:dyDescent="0.25">
      <c r="A2252" s="62" t="s">
        <v>5066</v>
      </c>
      <c r="B2252" s="63" t="s">
        <v>5067</v>
      </c>
      <c r="C2252" s="79" t="s">
        <v>8901</v>
      </c>
    </row>
    <row r="2253" spans="1:3" x14ac:dyDescent="0.25">
      <c r="A2253" s="62" t="s">
        <v>5068</v>
      </c>
      <c r="B2253" s="63" t="s">
        <v>5069</v>
      </c>
      <c r="C2253" s="79" t="s">
        <v>8902</v>
      </c>
    </row>
    <row r="2254" spans="1:3" x14ac:dyDescent="0.25">
      <c r="A2254" s="62" t="s">
        <v>5070</v>
      </c>
      <c r="B2254" s="63" t="s">
        <v>5071</v>
      </c>
      <c r="C2254" s="79" t="s">
        <v>8901</v>
      </c>
    </row>
    <row r="2255" spans="1:3" x14ac:dyDescent="0.25">
      <c r="A2255" s="62" t="s">
        <v>5072</v>
      </c>
      <c r="B2255" s="63" t="s">
        <v>5073</v>
      </c>
      <c r="C2255" s="79" t="s">
        <v>8902</v>
      </c>
    </row>
    <row r="2256" spans="1:3" x14ac:dyDescent="0.25">
      <c r="A2256" s="62" t="s">
        <v>5074</v>
      </c>
      <c r="B2256" s="63" t="s">
        <v>5075</v>
      </c>
      <c r="C2256" s="79" t="s">
        <v>8901</v>
      </c>
    </row>
    <row r="2257" spans="1:3" x14ac:dyDescent="0.25">
      <c r="A2257" s="62" t="s">
        <v>5076</v>
      </c>
      <c r="B2257" s="63" t="s">
        <v>5077</v>
      </c>
      <c r="C2257" s="79" t="s">
        <v>8902</v>
      </c>
    </row>
    <row r="2258" spans="1:3" x14ac:dyDescent="0.25">
      <c r="A2258" s="62" t="s">
        <v>5078</v>
      </c>
      <c r="B2258" s="63" t="s">
        <v>5079</v>
      </c>
      <c r="C2258" s="79" t="s">
        <v>8901</v>
      </c>
    </row>
    <row r="2259" spans="1:3" x14ac:dyDescent="0.25">
      <c r="A2259" s="62" t="s">
        <v>5080</v>
      </c>
      <c r="B2259" s="63" t="s">
        <v>5081</v>
      </c>
      <c r="C2259" s="79" t="s">
        <v>8902</v>
      </c>
    </row>
    <row r="2260" spans="1:3" x14ac:dyDescent="0.25">
      <c r="A2260" s="62" t="s">
        <v>5082</v>
      </c>
      <c r="B2260" s="63" t="s">
        <v>5083</v>
      </c>
      <c r="C2260" s="79" t="s">
        <v>8901</v>
      </c>
    </row>
    <row r="2261" spans="1:3" x14ac:dyDescent="0.25">
      <c r="A2261" s="62" t="s">
        <v>5084</v>
      </c>
      <c r="B2261" s="63" t="s">
        <v>5085</v>
      </c>
      <c r="C2261" s="79" t="s">
        <v>8902</v>
      </c>
    </row>
    <row r="2262" spans="1:3" x14ac:dyDescent="0.25">
      <c r="A2262" s="62" t="s">
        <v>5086</v>
      </c>
      <c r="B2262" s="63" t="s">
        <v>5087</v>
      </c>
      <c r="C2262" s="79" t="s">
        <v>8901</v>
      </c>
    </row>
    <row r="2263" spans="1:3" x14ac:dyDescent="0.25">
      <c r="A2263" s="62" t="s">
        <v>5088</v>
      </c>
      <c r="B2263" s="63" t="s">
        <v>5089</v>
      </c>
      <c r="C2263" s="79" t="s">
        <v>8902</v>
      </c>
    </row>
    <row r="2264" spans="1:3" x14ac:dyDescent="0.25">
      <c r="A2264" s="62" t="s">
        <v>5090</v>
      </c>
      <c r="B2264" s="63" t="s">
        <v>5091</v>
      </c>
      <c r="C2264" s="79" t="s">
        <v>8901</v>
      </c>
    </row>
    <row r="2265" spans="1:3" x14ac:dyDescent="0.25">
      <c r="A2265" s="62" t="s">
        <v>5092</v>
      </c>
      <c r="B2265" s="63" t="s">
        <v>5093</v>
      </c>
      <c r="C2265" s="79" t="s">
        <v>8902</v>
      </c>
    </row>
    <row r="2266" spans="1:3" x14ac:dyDescent="0.25">
      <c r="A2266" s="62" t="s">
        <v>5094</v>
      </c>
      <c r="B2266" s="63" t="s">
        <v>5095</v>
      </c>
      <c r="C2266" s="79" t="s">
        <v>8901</v>
      </c>
    </row>
    <row r="2267" spans="1:3" x14ac:dyDescent="0.25">
      <c r="A2267" s="62" t="s">
        <v>5096</v>
      </c>
      <c r="B2267" s="63" t="s">
        <v>5097</v>
      </c>
      <c r="C2267" s="79" t="s">
        <v>8902</v>
      </c>
    </row>
    <row r="2268" spans="1:3" x14ac:dyDescent="0.25">
      <c r="A2268" s="62" t="s">
        <v>5098</v>
      </c>
      <c r="B2268" s="63" t="s">
        <v>5099</v>
      </c>
      <c r="C2268" s="79" t="s">
        <v>8575</v>
      </c>
    </row>
    <row r="2269" spans="1:3" x14ac:dyDescent="0.25">
      <c r="A2269" s="62" t="s">
        <v>5100</v>
      </c>
      <c r="B2269" s="63" t="s">
        <v>5101</v>
      </c>
      <c r="C2269" s="79" t="s">
        <v>8903</v>
      </c>
    </row>
    <row r="2270" spans="1:3" x14ac:dyDescent="0.25">
      <c r="A2270" s="62" t="s">
        <v>5102</v>
      </c>
      <c r="B2270" s="63" t="s">
        <v>5103</v>
      </c>
      <c r="C2270" s="79" t="s">
        <v>8575</v>
      </c>
    </row>
    <row r="2271" spans="1:3" x14ac:dyDescent="0.25">
      <c r="A2271" s="62" t="s">
        <v>5104</v>
      </c>
      <c r="B2271" s="63" t="s">
        <v>5105</v>
      </c>
      <c r="C2271" s="79" t="s">
        <v>8903</v>
      </c>
    </row>
    <row r="2272" spans="1:3" x14ac:dyDescent="0.25">
      <c r="A2272" s="62" t="s">
        <v>5106</v>
      </c>
      <c r="B2272" s="63" t="s">
        <v>5107</v>
      </c>
      <c r="C2272" s="79" t="s">
        <v>8575</v>
      </c>
    </row>
    <row r="2273" spans="1:3" x14ac:dyDescent="0.25">
      <c r="A2273" s="62" t="s">
        <v>5108</v>
      </c>
      <c r="B2273" s="63" t="s">
        <v>5109</v>
      </c>
      <c r="C2273" s="79" t="s">
        <v>8903</v>
      </c>
    </row>
    <row r="2274" spans="1:3" x14ac:dyDescent="0.25">
      <c r="A2274" s="62" t="s">
        <v>5110</v>
      </c>
      <c r="B2274" s="63" t="s">
        <v>5111</v>
      </c>
      <c r="C2274" s="79" t="s">
        <v>8575</v>
      </c>
    </row>
    <row r="2275" spans="1:3" x14ac:dyDescent="0.25">
      <c r="A2275" s="62" t="s">
        <v>5112</v>
      </c>
      <c r="B2275" s="63" t="s">
        <v>5113</v>
      </c>
      <c r="C2275" s="79" t="s">
        <v>8903</v>
      </c>
    </row>
    <row r="2276" spans="1:3" x14ac:dyDescent="0.25">
      <c r="A2276" s="62" t="s">
        <v>5114</v>
      </c>
      <c r="B2276" s="63" t="s">
        <v>5115</v>
      </c>
      <c r="C2276" s="79" t="s">
        <v>8575</v>
      </c>
    </row>
    <row r="2277" spans="1:3" x14ac:dyDescent="0.25">
      <c r="A2277" s="62" t="s">
        <v>5116</v>
      </c>
      <c r="B2277" s="63" t="s">
        <v>5117</v>
      </c>
      <c r="C2277" s="79" t="s">
        <v>8903</v>
      </c>
    </row>
    <row r="2278" spans="1:3" x14ac:dyDescent="0.25">
      <c r="A2278" s="62" t="s">
        <v>5118</v>
      </c>
      <c r="B2278" s="63" t="s">
        <v>5119</v>
      </c>
      <c r="C2278" s="79" t="s">
        <v>8901</v>
      </c>
    </row>
    <row r="2279" spans="1:3" x14ac:dyDescent="0.25">
      <c r="A2279" s="62" t="s">
        <v>5120</v>
      </c>
      <c r="B2279" s="63" t="s">
        <v>5121</v>
      </c>
      <c r="C2279" s="79" t="s">
        <v>8902</v>
      </c>
    </row>
    <row r="2280" spans="1:3" x14ac:dyDescent="0.25">
      <c r="A2280" s="62" t="s">
        <v>5122</v>
      </c>
      <c r="B2280" s="63" t="s">
        <v>5123</v>
      </c>
      <c r="C2280" s="79" t="s">
        <v>8901</v>
      </c>
    </row>
    <row r="2281" spans="1:3" x14ac:dyDescent="0.25">
      <c r="A2281" s="62" t="s">
        <v>5124</v>
      </c>
      <c r="B2281" s="63" t="s">
        <v>5125</v>
      </c>
      <c r="C2281" s="79" t="s">
        <v>8902</v>
      </c>
    </row>
    <row r="2282" spans="1:3" x14ac:dyDescent="0.25">
      <c r="A2282" s="62" t="s">
        <v>5126</v>
      </c>
      <c r="B2282" s="63" t="s">
        <v>5127</v>
      </c>
      <c r="C2282" s="79" t="s">
        <v>8901</v>
      </c>
    </row>
    <row r="2283" spans="1:3" x14ac:dyDescent="0.25">
      <c r="A2283" s="62" t="s">
        <v>5128</v>
      </c>
      <c r="B2283" s="63" t="s">
        <v>5129</v>
      </c>
      <c r="C2283" s="79" t="s">
        <v>8902</v>
      </c>
    </row>
    <row r="2284" spans="1:3" x14ac:dyDescent="0.25">
      <c r="A2284" s="62" t="s">
        <v>5130</v>
      </c>
      <c r="B2284" s="63" t="s">
        <v>5131</v>
      </c>
      <c r="C2284" s="79" t="s">
        <v>8901</v>
      </c>
    </row>
    <row r="2285" spans="1:3" x14ac:dyDescent="0.25">
      <c r="A2285" s="62" t="s">
        <v>5132</v>
      </c>
      <c r="B2285" s="63" t="s">
        <v>5133</v>
      </c>
      <c r="C2285" s="79" t="s">
        <v>8902</v>
      </c>
    </row>
    <row r="2286" spans="1:3" x14ac:dyDescent="0.25">
      <c r="A2286" s="62" t="s">
        <v>5134</v>
      </c>
      <c r="B2286" s="63" t="s">
        <v>5135</v>
      </c>
      <c r="C2286" s="79" t="s">
        <v>8901</v>
      </c>
    </row>
    <row r="2287" spans="1:3" x14ac:dyDescent="0.25">
      <c r="A2287" s="62" t="s">
        <v>5136</v>
      </c>
      <c r="B2287" s="63" t="s">
        <v>5137</v>
      </c>
      <c r="C2287" s="79" t="s">
        <v>8902</v>
      </c>
    </row>
    <row r="2288" spans="1:3" x14ac:dyDescent="0.25">
      <c r="A2288" s="62" t="s">
        <v>5138</v>
      </c>
      <c r="B2288" s="63" t="s">
        <v>5139</v>
      </c>
      <c r="C2288" s="79" t="s">
        <v>8904</v>
      </c>
    </row>
    <row r="2289" spans="1:3" x14ac:dyDescent="0.25">
      <c r="A2289" s="62" t="s">
        <v>5140</v>
      </c>
      <c r="B2289" s="63" t="s">
        <v>5141</v>
      </c>
      <c r="C2289" s="79" t="s">
        <v>8905</v>
      </c>
    </row>
    <row r="2290" spans="1:3" x14ac:dyDescent="0.25">
      <c r="A2290" s="62" t="s">
        <v>5142</v>
      </c>
      <c r="B2290" s="63" t="s">
        <v>5143</v>
      </c>
      <c r="C2290" s="79" t="s">
        <v>8904</v>
      </c>
    </row>
    <row r="2291" spans="1:3" x14ac:dyDescent="0.25">
      <c r="A2291" s="62" t="s">
        <v>5144</v>
      </c>
      <c r="B2291" s="63" t="s">
        <v>5145</v>
      </c>
      <c r="C2291" s="79" t="s">
        <v>8905</v>
      </c>
    </row>
    <row r="2292" spans="1:3" x14ac:dyDescent="0.25">
      <c r="A2292" s="62" t="s">
        <v>5146</v>
      </c>
      <c r="B2292" s="63" t="s">
        <v>5147</v>
      </c>
      <c r="C2292" s="79" t="s">
        <v>8904</v>
      </c>
    </row>
    <row r="2293" spans="1:3" x14ac:dyDescent="0.25">
      <c r="A2293" s="62" t="s">
        <v>5148</v>
      </c>
      <c r="B2293" s="63" t="s">
        <v>5149</v>
      </c>
      <c r="C2293" s="79" t="s">
        <v>8905</v>
      </c>
    </row>
    <row r="2294" spans="1:3" x14ac:dyDescent="0.25">
      <c r="A2294" s="62" t="s">
        <v>5150</v>
      </c>
      <c r="B2294" s="63" t="s">
        <v>5151</v>
      </c>
      <c r="C2294" s="79" t="s">
        <v>8904</v>
      </c>
    </row>
    <row r="2295" spans="1:3" x14ac:dyDescent="0.25">
      <c r="A2295" s="62" t="s">
        <v>5152</v>
      </c>
      <c r="B2295" s="63" t="s">
        <v>5153</v>
      </c>
      <c r="C2295" s="79" t="s">
        <v>8905</v>
      </c>
    </row>
    <row r="2296" spans="1:3" x14ac:dyDescent="0.25">
      <c r="A2296" s="62" t="s">
        <v>5154</v>
      </c>
      <c r="B2296" s="63" t="s">
        <v>5155</v>
      </c>
      <c r="C2296" s="79" t="s">
        <v>8904</v>
      </c>
    </row>
    <row r="2297" spans="1:3" x14ac:dyDescent="0.25">
      <c r="A2297" s="62" t="s">
        <v>5156</v>
      </c>
      <c r="B2297" s="63" t="s">
        <v>5157</v>
      </c>
      <c r="C2297" s="79" t="s">
        <v>8905</v>
      </c>
    </row>
    <row r="2298" spans="1:3" x14ac:dyDescent="0.25">
      <c r="A2298" s="62" t="s">
        <v>5158</v>
      </c>
      <c r="B2298" s="63" t="s">
        <v>5159</v>
      </c>
      <c r="C2298" s="79" t="s">
        <v>8904</v>
      </c>
    </row>
    <row r="2299" spans="1:3" x14ac:dyDescent="0.25">
      <c r="A2299" s="62" t="s">
        <v>5160</v>
      </c>
      <c r="B2299" s="63" t="s">
        <v>5161</v>
      </c>
      <c r="C2299" s="79" t="s">
        <v>8905</v>
      </c>
    </row>
    <row r="2300" spans="1:3" x14ac:dyDescent="0.25">
      <c r="A2300" s="62" t="s">
        <v>5162</v>
      </c>
      <c r="B2300" s="63" t="s">
        <v>5163</v>
      </c>
      <c r="C2300" s="79" t="s">
        <v>8904</v>
      </c>
    </row>
    <row r="2301" spans="1:3" x14ac:dyDescent="0.25">
      <c r="A2301" s="62" t="s">
        <v>5164</v>
      </c>
      <c r="B2301" s="63" t="s">
        <v>5165</v>
      </c>
      <c r="C2301" s="79" t="s">
        <v>8905</v>
      </c>
    </row>
    <row r="2302" spans="1:3" x14ac:dyDescent="0.25">
      <c r="A2302" s="62" t="s">
        <v>5166</v>
      </c>
      <c r="B2302" s="63" t="s">
        <v>5167</v>
      </c>
      <c r="C2302" s="79" t="s">
        <v>8904</v>
      </c>
    </row>
    <row r="2303" spans="1:3" x14ac:dyDescent="0.25">
      <c r="A2303" s="62" t="s">
        <v>5168</v>
      </c>
      <c r="B2303" s="63" t="s">
        <v>5169</v>
      </c>
      <c r="C2303" s="79" t="s">
        <v>8905</v>
      </c>
    </row>
    <row r="2304" spans="1:3" x14ac:dyDescent="0.25">
      <c r="A2304" s="62" t="s">
        <v>5170</v>
      </c>
      <c r="B2304" s="63" t="s">
        <v>5171</v>
      </c>
      <c r="C2304" s="79" t="s">
        <v>8904</v>
      </c>
    </row>
    <row r="2305" spans="1:3" x14ac:dyDescent="0.25">
      <c r="A2305" s="62" t="s">
        <v>5172</v>
      </c>
      <c r="B2305" s="63" t="s">
        <v>5173</v>
      </c>
      <c r="C2305" s="79" t="s">
        <v>8905</v>
      </c>
    </row>
    <row r="2306" spans="1:3" x14ac:dyDescent="0.25">
      <c r="A2306" s="62" t="s">
        <v>5174</v>
      </c>
      <c r="B2306" s="63" t="s">
        <v>5175</v>
      </c>
      <c r="C2306" s="79" t="s">
        <v>8904</v>
      </c>
    </row>
    <row r="2307" spans="1:3" x14ac:dyDescent="0.25">
      <c r="A2307" s="62" t="s">
        <v>5176</v>
      </c>
      <c r="B2307" s="63" t="s">
        <v>5177</v>
      </c>
      <c r="C2307" s="79" t="s">
        <v>8905</v>
      </c>
    </row>
    <row r="2308" spans="1:3" x14ac:dyDescent="0.25">
      <c r="A2308" s="62" t="s">
        <v>5178</v>
      </c>
      <c r="B2308" s="63" t="s">
        <v>5179</v>
      </c>
      <c r="C2308" s="79" t="s">
        <v>8906</v>
      </c>
    </row>
    <row r="2309" spans="1:3" x14ac:dyDescent="0.25">
      <c r="A2309" s="62" t="s">
        <v>5180</v>
      </c>
      <c r="B2309" s="63" t="s">
        <v>5181</v>
      </c>
      <c r="C2309" s="79" t="s">
        <v>8907</v>
      </c>
    </row>
    <row r="2310" spans="1:3" x14ac:dyDescent="0.25">
      <c r="A2310" s="62" t="s">
        <v>5182</v>
      </c>
      <c r="B2310" s="63" t="s">
        <v>5183</v>
      </c>
      <c r="C2310" s="79" t="s">
        <v>8906</v>
      </c>
    </row>
    <row r="2311" spans="1:3" x14ac:dyDescent="0.25">
      <c r="A2311" s="62" t="s">
        <v>5184</v>
      </c>
      <c r="B2311" s="63" t="s">
        <v>5185</v>
      </c>
      <c r="C2311" s="79" t="s">
        <v>8907</v>
      </c>
    </row>
    <row r="2312" spans="1:3" x14ac:dyDescent="0.25">
      <c r="A2312" s="62" t="s">
        <v>5186</v>
      </c>
      <c r="B2312" s="63" t="s">
        <v>5187</v>
      </c>
      <c r="C2312" s="79" t="s">
        <v>8906</v>
      </c>
    </row>
    <row r="2313" spans="1:3" x14ac:dyDescent="0.25">
      <c r="A2313" s="62" t="s">
        <v>5188</v>
      </c>
      <c r="B2313" s="63" t="s">
        <v>5189</v>
      </c>
      <c r="C2313" s="79" t="s">
        <v>8907</v>
      </c>
    </row>
    <row r="2314" spans="1:3" x14ac:dyDescent="0.25">
      <c r="A2314" s="62" t="s">
        <v>5190</v>
      </c>
      <c r="B2314" s="63" t="s">
        <v>5191</v>
      </c>
      <c r="C2314" s="79" t="s">
        <v>8906</v>
      </c>
    </row>
    <row r="2315" spans="1:3" x14ac:dyDescent="0.25">
      <c r="A2315" s="62" t="s">
        <v>5192</v>
      </c>
      <c r="B2315" s="63" t="s">
        <v>5193</v>
      </c>
      <c r="C2315" s="79" t="s">
        <v>8907</v>
      </c>
    </row>
    <row r="2316" spans="1:3" x14ac:dyDescent="0.25">
      <c r="A2316" s="62" t="s">
        <v>5194</v>
      </c>
      <c r="B2316" s="63" t="s">
        <v>5195</v>
      </c>
      <c r="C2316" s="79" t="s">
        <v>8906</v>
      </c>
    </row>
    <row r="2317" spans="1:3" x14ac:dyDescent="0.25">
      <c r="A2317" s="62" t="s">
        <v>5196</v>
      </c>
      <c r="B2317" s="63" t="s">
        <v>5197</v>
      </c>
      <c r="C2317" s="79" t="s">
        <v>8907</v>
      </c>
    </row>
    <row r="2318" spans="1:3" x14ac:dyDescent="0.25">
      <c r="A2318" s="62" t="s">
        <v>5198</v>
      </c>
      <c r="B2318" s="63" t="s">
        <v>5199</v>
      </c>
      <c r="C2318" s="79" t="s">
        <v>8906</v>
      </c>
    </row>
    <row r="2319" spans="1:3" x14ac:dyDescent="0.25">
      <c r="A2319" s="62" t="s">
        <v>5200</v>
      </c>
      <c r="B2319" s="63" t="s">
        <v>5201</v>
      </c>
      <c r="C2319" s="79" t="s">
        <v>8907</v>
      </c>
    </row>
    <row r="2320" spans="1:3" x14ac:dyDescent="0.25">
      <c r="A2320" s="62" t="s">
        <v>5202</v>
      </c>
      <c r="B2320" s="63" t="s">
        <v>5203</v>
      </c>
      <c r="C2320" s="79" t="s">
        <v>8906</v>
      </c>
    </row>
    <row r="2321" spans="1:3" x14ac:dyDescent="0.25">
      <c r="A2321" s="62" t="s">
        <v>5204</v>
      </c>
      <c r="B2321" s="63" t="s">
        <v>5205</v>
      </c>
      <c r="C2321" s="79" t="s">
        <v>8907</v>
      </c>
    </row>
    <row r="2322" spans="1:3" x14ac:dyDescent="0.25">
      <c r="A2322" s="62" t="s">
        <v>5206</v>
      </c>
      <c r="B2322" s="63" t="s">
        <v>5207</v>
      </c>
      <c r="C2322" s="79" t="s">
        <v>8906</v>
      </c>
    </row>
    <row r="2323" spans="1:3" x14ac:dyDescent="0.25">
      <c r="A2323" s="62" t="s">
        <v>5208</v>
      </c>
      <c r="B2323" s="63" t="s">
        <v>5209</v>
      </c>
      <c r="C2323" s="79" t="s">
        <v>8907</v>
      </c>
    </row>
    <row r="2324" spans="1:3" x14ac:dyDescent="0.25">
      <c r="A2324" s="62" t="s">
        <v>5210</v>
      </c>
      <c r="B2324" s="63" t="s">
        <v>5211</v>
      </c>
      <c r="C2324" s="79" t="s">
        <v>8906</v>
      </c>
    </row>
    <row r="2325" spans="1:3" x14ac:dyDescent="0.25">
      <c r="A2325" s="62" t="s">
        <v>5212</v>
      </c>
      <c r="B2325" s="63" t="s">
        <v>5213</v>
      </c>
      <c r="C2325" s="79" t="s">
        <v>8907</v>
      </c>
    </row>
    <row r="2326" spans="1:3" x14ac:dyDescent="0.25">
      <c r="A2326" s="62" t="s">
        <v>5214</v>
      </c>
      <c r="B2326" s="63" t="s">
        <v>5215</v>
      </c>
      <c r="C2326" s="79" t="s">
        <v>8906</v>
      </c>
    </row>
    <row r="2327" spans="1:3" x14ac:dyDescent="0.25">
      <c r="A2327" s="62" t="s">
        <v>5216</v>
      </c>
      <c r="B2327" s="63" t="s">
        <v>5217</v>
      </c>
      <c r="C2327" s="79" t="s">
        <v>8907</v>
      </c>
    </row>
    <row r="2328" spans="1:3" x14ac:dyDescent="0.25">
      <c r="A2328" s="62" t="s">
        <v>5218</v>
      </c>
      <c r="B2328" s="63" t="s">
        <v>5219</v>
      </c>
      <c r="C2328" s="79" t="s">
        <v>8901</v>
      </c>
    </row>
    <row r="2329" spans="1:3" x14ac:dyDescent="0.25">
      <c r="A2329" s="62" t="s">
        <v>5220</v>
      </c>
      <c r="B2329" s="63" t="s">
        <v>5221</v>
      </c>
      <c r="C2329" s="79" t="s">
        <v>8902</v>
      </c>
    </row>
    <row r="2330" spans="1:3" x14ac:dyDescent="0.25">
      <c r="A2330" s="62" t="s">
        <v>5222</v>
      </c>
      <c r="B2330" s="63" t="s">
        <v>5223</v>
      </c>
      <c r="C2330" s="79" t="s">
        <v>8901</v>
      </c>
    </row>
    <row r="2331" spans="1:3" x14ac:dyDescent="0.25">
      <c r="A2331" s="62" t="s">
        <v>5224</v>
      </c>
      <c r="B2331" s="63" t="s">
        <v>5225</v>
      </c>
      <c r="C2331" s="79" t="s">
        <v>8902</v>
      </c>
    </row>
    <row r="2332" spans="1:3" x14ac:dyDescent="0.25">
      <c r="A2332" s="62" t="s">
        <v>5226</v>
      </c>
      <c r="B2332" s="63" t="s">
        <v>5227</v>
      </c>
      <c r="C2332" s="79" t="s">
        <v>8901</v>
      </c>
    </row>
    <row r="2333" spans="1:3" x14ac:dyDescent="0.25">
      <c r="A2333" s="62" t="s">
        <v>5228</v>
      </c>
      <c r="B2333" s="63" t="s">
        <v>5229</v>
      </c>
      <c r="C2333" s="79" t="s">
        <v>8902</v>
      </c>
    </row>
    <row r="2334" spans="1:3" x14ac:dyDescent="0.25">
      <c r="A2334" s="62" t="s">
        <v>5230</v>
      </c>
      <c r="B2334" s="63" t="s">
        <v>5231</v>
      </c>
      <c r="C2334" s="79" t="s">
        <v>8901</v>
      </c>
    </row>
    <row r="2335" spans="1:3" x14ac:dyDescent="0.25">
      <c r="A2335" s="62" t="s">
        <v>5232</v>
      </c>
      <c r="B2335" s="63" t="s">
        <v>5233</v>
      </c>
      <c r="C2335" s="79" t="s">
        <v>8902</v>
      </c>
    </row>
    <row r="2336" spans="1:3" x14ac:dyDescent="0.25">
      <c r="A2336" s="62" t="s">
        <v>5234</v>
      </c>
      <c r="B2336" s="63" t="s">
        <v>5235</v>
      </c>
      <c r="C2336" s="79" t="s">
        <v>8901</v>
      </c>
    </row>
    <row r="2337" spans="1:3" x14ac:dyDescent="0.25">
      <c r="A2337" s="62" t="s">
        <v>5236</v>
      </c>
      <c r="B2337" s="63" t="s">
        <v>5237</v>
      </c>
      <c r="C2337" s="79" t="s">
        <v>8902</v>
      </c>
    </row>
    <row r="2338" spans="1:3" x14ac:dyDescent="0.25">
      <c r="A2338" s="62" t="s">
        <v>5238</v>
      </c>
      <c r="B2338" s="63" t="s">
        <v>5239</v>
      </c>
      <c r="C2338" s="79" t="s">
        <v>8908</v>
      </c>
    </row>
    <row r="2339" spans="1:3" x14ac:dyDescent="0.25">
      <c r="A2339" s="62" t="s">
        <v>5240</v>
      </c>
      <c r="B2339" s="63" t="s">
        <v>5241</v>
      </c>
      <c r="C2339" s="79" t="s">
        <v>8391</v>
      </c>
    </row>
    <row r="2340" spans="1:3" x14ac:dyDescent="0.25">
      <c r="A2340" s="62" t="s">
        <v>5242</v>
      </c>
      <c r="B2340" s="63" t="s">
        <v>5243</v>
      </c>
      <c r="C2340" s="79" t="s">
        <v>8908</v>
      </c>
    </row>
    <row r="2341" spans="1:3" x14ac:dyDescent="0.25">
      <c r="A2341" s="62" t="s">
        <v>5244</v>
      </c>
      <c r="B2341" s="63" t="s">
        <v>5245</v>
      </c>
      <c r="C2341" s="79" t="s">
        <v>8391</v>
      </c>
    </row>
    <row r="2342" spans="1:3" x14ac:dyDescent="0.25">
      <c r="A2342" s="62" t="s">
        <v>5246</v>
      </c>
      <c r="B2342" s="63" t="s">
        <v>5247</v>
      </c>
      <c r="C2342" s="79" t="s">
        <v>8908</v>
      </c>
    </row>
    <row r="2343" spans="1:3" x14ac:dyDescent="0.25">
      <c r="A2343" s="62" t="s">
        <v>5248</v>
      </c>
      <c r="B2343" s="63" t="s">
        <v>5245</v>
      </c>
      <c r="C2343" s="79" t="s">
        <v>8391</v>
      </c>
    </row>
    <row r="2344" spans="1:3" x14ac:dyDescent="0.25">
      <c r="A2344" s="62" t="s">
        <v>5249</v>
      </c>
      <c r="B2344" s="63" t="s">
        <v>5250</v>
      </c>
      <c r="C2344" s="79" t="s">
        <v>8908</v>
      </c>
    </row>
    <row r="2345" spans="1:3" x14ac:dyDescent="0.25">
      <c r="A2345" s="62" t="s">
        <v>5251</v>
      </c>
      <c r="B2345" s="63" t="s">
        <v>5252</v>
      </c>
      <c r="C2345" s="79" t="s">
        <v>8391</v>
      </c>
    </row>
    <row r="2346" spans="1:3" x14ac:dyDescent="0.25">
      <c r="A2346" s="62" t="s">
        <v>5253</v>
      </c>
      <c r="B2346" s="63" t="s">
        <v>5254</v>
      </c>
      <c r="C2346" s="79" t="s">
        <v>8908</v>
      </c>
    </row>
    <row r="2347" spans="1:3" x14ac:dyDescent="0.25">
      <c r="A2347" s="62" t="s">
        <v>5255</v>
      </c>
      <c r="B2347" s="63" t="s">
        <v>5256</v>
      </c>
      <c r="C2347" s="79" t="s">
        <v>8391</v>
      </c>
    </row>
    <row r="2348" spans="1:3" x14ac:dyDescent="0.25">
      <c r="A2348" s="62" t="s">
        <v>5257</v>
      </c>
      <c r="B2348" s="63" t="s">
        <v>5258</v>
      </c>
      <c r="C2348" s="79" t="s">
        <v>8909</v>
      </c>
    </row>
    <row r="2349" spans="1:3" x14ac:dyDescent="0.25">
      <c r="A2349" s="62" t="s">
        <v>5259</v>
      </c>
      <c r="B2349" s="63" t="s">
        <v>5260</v>
      </c>
      <c r="C2349" s="79" t="s">
        <v>8910</v>
      </c>
    </row>
    <row r="2350" spans="1:3" x14ac:dyDescent="0.25">
      <c r="A2350" s="62" t="s">
        <v>5261</v>
      </c>
      <c r="B2350" s="63" t="s">
        <v>5262</v>
      </c>
      <c r="C2350" s="79" t="s">
        <v>8909</v>
      </c>
    </row>
    <row r="2351" spans="1:3" x14ac:dyDescent="0.25">
      <c r="A2351" s="62" t="s">
        <v>5263</v>
      </c>
      <c r="B2351" s="63" t="s">
        <v>5264</v>
      </c>
      <c r="C2351" s="79" t="s">
        <v>8910</v>
      </c>
    </row>
    <row r="2352" spans="1:3" x14ac:dyDescent="0.25">
      <c r="A2352" s="62" t="s">
        <v>5265</v>
      </c>
      <c r="B2352" s="63" t="s">
        <v>5266</v>
      </c>
      <c r="C2352" s="79" t="s">
        <v>8909</v>
      </c>
    </row>
    <row r="2353" spans="1:3" x14ac:dyDescent="0.25">
      <c r="A2353" s="62" t="s">
        <v>5267</v>
      </c>
      <c r="B2353" s="63" t="s">
        <v>5268</v>
      </c>
      <c r="C2353" s="79" t="s">
        <v>8910</v>
      </c>
    </row>
    <row r="2354" spans="1:3" x14ac:dyDescent="0.25">
      <c r="A2354" s="62" t="s">
        <v>5269</v>
      </c>
      <c r="B2354" s="63" t="s">
        <v>5270</v>
      </c>
      <c r="C2354" s="79" t="s">
        <v>8909</v>
      </c>
    </row>
    <row r="2355" spans="1:3" x14ac:dyDescent="0.25">
      <c r="A2355" s="62" t="s">
        <v>5271</v>
      </c>
      <c r="B2355" s="63" t="s">
        <v>5272</v>
      </c>
      <c r="C2355" s="79" t="s">
        <v>8910</v>
      </c>
    </row>
    <row r="2356" spans="1:3" x14ac:dyDescent="0.25">
      <c r="A2356" s="62" t="s">
        <v>5273</v>
      </c>
      <c r="B2356" s="63" t="s">
        <v>5274</v>
      </c>
      <c r="C2356" s="79" t="s">
        <v>8909</v>
      </c>
    </row>
    <row r="2357" spans="1:3" x14ac:dyDescent="0.25">
      <c r="A2357" s="62" t="s">
        <v>5275</v>
      </c>
      <c r="B2357" s="63" t="s">
        <v>5276</v>
      </c>
      <c r="C2357" s="79" t="s">
        <v>8910</v>
      </c>
    </row>
    <row r="2358" spans="1:3" x14ac:dyDescent="0.25">
      <c r="A2358" s="62" t="s">
        <v>5277</v>
      </c>
      <c r="B2358" s="63" t="s">
        <v>5278</v>
      </c>
      <c r="C2358" s="79" t="s">
        <v>8909</v>
      </c>
    </row>
    <row r="2359" spans="1:3" x14ac:dyDescent="0.25">
      <c r="A2359" s="62" t="s">
        <v>5279</v>
      </c>
      <c r="B2359" s="63" t="s">
        <v>5280</v>
      </c>
      <c r="C2359" s="79" t="s">
        <v>8910</v>
      </c>
    </row>
    <row r="2360" spans="1:3" x14ac:dyDescent="0.25">
      <c r="A2360" s="62" t="s">
        <v>5281</v>
      </c>
      <c r="B2360" s="63" t="s">
        <v>5282</v>
      </c>
      <c r="C2360" s="79" t="s">
        <v>8909</v>
      </c>
    </row>
    <row r="2361" spans="1:3" x14ac:dyDescent="0.25">
      <c r="A2361" s="62" t="s">
        <v>5283</v>
      </c>
      <c r="B2361" s="63" t="s">
        <v>5284</v>
      </c>
      <c r="C2361" s="79" t="s">
        <v>8910</v>
      </c>
    </row>
    <row r="2362" spans="1:3" x14ac:dyDescent="0.25">
      <c r="A2362" s="62" t="s">
        <v>5285</v>
      </c>
      <c r="B2362" s="63" t="s">
        <v>5286</v>
      </c>
      <c r="C2362" s="79" t="s">
        <v>8909</v>
      </c>
    </row>
    <row r="2363" spans="1:3" x14ac:dyDescent="0.25">
      <c r="A2363" s="62" t="s">
        <v>5287</v>
      </c>
      <c r="B2363" s="63" t="s">
        <v>5288</v>
      </c>
      <c r="C2363" s="79" t="s">
        <v>8910</v>
      </c>
    </row>
    <row r="2364" spans="1:3" x14ac:dyDescent="0.25">
      <c r="A2364" s="62" t="s">
        <v>5289</v>
      </c>
      <c r="B2364" s="63" t="s">
        <v>5290</v>
      </c>
      <c r="C2364" s="79" t="s">
        <v>8909</v>
      </c>
    </row>
    <row r="2365" spans="1:3" x14ac:dyDescent="0.25">
      <c r="A2365" s="62" t="s">
        <v>5291</v>
      </c>
      <c r="B2365" s="63" t="s">
        <v>5292</v>
      </c>
      <c r="C2365" s="79" t="s">
        <v>8910</v>
      </c>
    </row>
    <row r="2366" spans="1:3" x14ac:dyDescent="0.25">
      <c r="A2366" s="62" t="s">
        <v>5293</v>
      </c>
      <c r="B2366" s="63" t="s">
        <v>5294</v>
      </c>
      <c r="C2366" s="79" t="s">
        <v>8909</v>
      </c>
    </row>
    <row r="2367" spans="1:3" x14ac:dyDescent="0.25">
      <c r="A2367" s="62" t="s">
        <v>5295</v>
      </c>
      <c r="B2367" s="63" t="s">
        <v>5296</v>
      </c>
      <c r="C2367" s="79" t="s">
        <v>8910</v>
      </c>
    </row>
    <row r="2368" spans="1:3" x14ac:dyDescent="0.25">
      <c r="A2368" s="62" t="s">
        <v>5297</v>
      </c>
      <c r="B2368" s="63" t="s">
        <v>5298</v>
      </c>
      <c r="C2368" s="79" t="s">
        <v>8533</v>
      </c>
    </row>
    <row r="2369" spans="1:3" x14ac:dyDescent="0.25">
      <c r="A2369" s="62" t="s">
        <v>5299</v>
      </c>
      <c r="B2369" s="63" t="s">
        <v>5300</v>
      </c>
      <c r="C2369" s="79" t="s">
        <v>8911</v>
      </c>
    </row>
    <row r="2370" spans="1:3" x14ac:dyDescent="0.25">
      <c r="A2370" s="62" t="s">
        <v>5301</v>
      </c>
      <c r="B2370" s="63" t="s">
        <v>5302</v>
      </c>
      <c r="C2370" s="79" t="s">
        <v>8533</v>
      </c>
    </row>
    <row r="2371" spans="1:3" x14ac:dyDescent="0.25">
      <c r="A2371" s="62" t="s">
        <v>5303</v>
      </c>
      <c r="B2371" s="63" t="s">
        <v>5304</v>
      </c>
      <c r="C2371" s="79" t="s">
        <v>8911</v>
      </c>
    </row>
    <row r="2372" spans="1:3" x14ac:dyDescent="0.25">
      <c r="A2372" s="62" t="s">
        <v>5305</v>
      </c>
      <c r="B2372" s="63" t="s">
        <v>5306</v>
      </c>
      <c r="C2372" s="79" t="s">
        <v>8533</v>
      </c>
    </row>
    <row r="2373" spans="1:3" x14ac:dyDescent="0.25">
      <c r="A2373" s="62" t="s">
        <v>5307</v>
      </c>
      <c r="B2373" s="63" t="s">
        <v>5308</v>
      </c>
      <c r="C2373" s="79" t="s">
        <v>8911</v>
      </c>
    </row>
    <row r="2374" spans="1:3" x14ac:dyDescent="0.25">
      <c r="A2374" s="62" t="s">
        <v>5309</v>
      </c>
      <c r="B2374" s="63" t="s">
        <v>5310</v>
      </c>
      <c r="C2374" s="79" t="s">
        <v>8533</v>
      </c>
    </row>
    <row r="2375" spans="1:3" x14ac:dyDescent="0.25">
      <c r="A2375" s="62" t="s">
        <v>5311</v>
      </c>
      <c r="B2375" s="63" t="s">
        <v>5312</v>
      </c>
      <c r="C2375" s="79" t="s">
        <v>8911</v>
      </c>
    </row>
    <row r="2376" spans="1:3" x14ac:dyDescent="0.25">
      <c r="A2376" s="62" t="s">
        <v>5313</v>
      </c>
      <c r="B2376" s="63" t="s">
        <v>5314</v>
      </c>
      <c r="C2376" s="79" t="s">
        <v>8533</v>
      </c>
    </row>
    <row r="2377" spans="1:3" x14ac:dyDescent="0.25">
      <c r="A2377" s="62" t="s">
        <v>5315</v>
      </c>
      <c r="B2377" s="63" t="s">
        <v>5316</v>
      </c>
      <c r="C2377" s="79" t="s">
        <v>8911</v>
      </c>
    </row>
    <row r="2378" spans="1:3" x14ac:dyDescent="0.25">
      <c r="A2378" s="62" t="s">
        <v>5317</v>
      </c>
      <c r="B2378" s="63" t="s">
        <v>5318</v>
      </c>
      <c r="C2378" s="79" t="s">
        <v>8533</v>
      </c>
    </row>
    <row r="2379" spans="1:3" x14ac:dyDescent="0.25">
      <c r="A2379" s="62" t="s">
        <v>5319</v>
      </c>
      <c r="B2379" s="63" t="s">
        <v>5320</v>
      </c>
      <c r="C2379" s="79" t="s">
        <v>8911</v>
      </c>
    </row>
    <row r="2380" spans="1:3" x14ac:dyDescent="0.25">
      <c r="A2380" s="62" t="s">
        <v>5321</v>
      </c>
      <c r="B2380" s="63" t="s">
        <v>5322</v>
      </c>
      <c r="C2380" s="79" t="s">
        <v>8533</v>
      </c>
    </row>
    <row r="2381" spans="1:3" x14ac:dyDescent="0.25">
      <c r="A2381" s="62" t="s">
        <v>5323</v>
      </c>
      <c r="B2381" s="63" t="s">
        <v>5324</v>
      </c>
      <c r="C2381" s="79" t="s">
        <v>8911</v>
      </c>
    </row>
    <row r="2382" spans="1:3" x14ac:dyDescent="0.25">
      <c r="A2382" s="62" t="s">
        <v>5325</v>
      </c>
      <c r="B2382" s="63" t="s">
        <v>5326</v>
      </c>
      <c r="C2382" s="79" t="s">
        <v>8533</v>
      </c>
    </row>
    <row r="2383" spans="1:3" x14ac:dyDescent="0.25">
      <c r="A2383" s="62" t="s">
        <v>5327</v>
      </c>
      <c r="B2383" s="63" t="s">
        <v>5328</v>
      </c>
      <c r="C2383" s="79" t="s">
        <v>8911</v>
      </c>
    </row>
    <row r="2384" spans="1:3" x14ac:dyDescent="0.25">
      <c r="A2384" s="62" t="s">
        <v>5329</v>
      </c>
      <c r="B2384" s="63" t="s">
        <v>5330</v>
      </c>
      <c r="C2384" s="79" t="s">
        <v>8533</v>
      </c>
    </row>
    <row r="2385" spans="1:3" x14ac:dyDescent="0.25">
      <c r="A2385" s="62" t="s">
        <v>5331</v>
      </c>
      <c r="B2385" s="63" t="s">
        <v>5332</v>
      </c>
      <c r="C2385" s="79" t="s">
        <v>8911</v>
      </c>
    </row>
    <row r="2386" spans="1:3" x14ac:dyDescent="0.25">
      <c r="A2386" s="62" t="s">
        <v>5333</v>
      </c>
      <c r="B2386" s="63" t="s">
        <v>5334</v>
      </c>
      <c r="C2386" s="79" t="s">
        <v>8533</v>
      </c>
    </row>
    <row r="2387" spans="1:3" x14ac:dyDescent="0.25">
      <c r="A2387" s="62" t="s">
        <v>5335</v>
      </c>
      <c r="B2387" s="63" t="s">
        <v>5336</v>
      </c>
      <c r="C2387" s="79" t="s">
        <v>8911</v>
      </c>
    </row>
    <row r="2388" spans="1:3" x14ac:dyDescent="0.25">
      <c r="A2388" s="62" t="s">
        <v>5337</v>
      </c>
      <c r="B2388" s="63" t="s">
        <v>5338</v>
      </c>
      <c r="C2388" s="79" t="s">
        <v>8912</v>
      </c>
    </row>
    <row r="2389" spans="1:3" x14ac:dyDescent="0.25">
      <c r="A2389" s="62" t="s">
        <v>5339</v>
      </c>
      <c r="B2389" s="63" t="s">
        <v>5340</v>
      </c>
      <c r="C2389" s="79" t="s">
        <v>8913</v>
      </c>
    </row>
    <row r="2390" spans="1:3" x14ac:dyDescent="0.25">
      <c r="A2390" s="62" t="s">
        <v>5341</v>
      </c>
      <c r="B2390" s="63" t="s">
        <v>5342</v>
      </c>
      <c r="C2390" s="79" t="s">
        <v>8912</v>
      </c>
    </row>
    <row r="2391" spans="1:3" x14ac:dyDescent="0.25">
      <c r="A2391" s="62" t="s">
        <v>5343</v>
      </c>
      <c r="B2391" s="63" t="s">
        <v>5344</v>
      </c>
      <c r="C2391" s="79" t="s">
        <v>8913</v>
      </c>
    </row>
    <row r="2392" spans="1:3" x14ac:dyDescent="0.25">
      <c r="A2392" s="62" t="s">
        <v>5345</v>
      </c>
      <c r="B2392" s="63" t="s">
        <v>5346</v>
      </c>
      <c r="C2392" s="79" t="s">
        <v>8912</v>
      </c>
    </row>
    <row r="2393" spans="1:3" x14ac:dyDescent="0.25">
      <c r="A2393" s="62" t="s">
        <v>5347</v>
      </c>
      <c r="B2393" s="63" t="s">
        <v>5348</v>
      </c>
      <c r="C2393" s="79" t="s">
        <v>8913</v>
      </c>
    </row>
    <row r="2394" spans="1:3" x14ac:dyDescent="0.25">
      <c r="A2394" s="62" t="s">
        <v>5349</v>
      </c>
      <c r="B2394" s="63" t="s">
        <v>5350</v>
      </c>
      <c r="C2394" s="79" t="s">
        <v>8912</v>
      </c>
    </row>
    <row r="2395" spans="1:3" x14ac:dyDescent="0.25">
      <c r="A2395" s="62" t="s">
        <v>5351</v>
      </c>
      <c r="B2395" s="63" t="s">
        <v>5352</v>
      </c>
      <c r="C2395" s="79" t="s">
        <v>8913</v>
      </c>
    </row>
    <row r="2396" spans="1:3" x14ac:dyDescent="0.25">
      <c r="A2396" s="62" t="s">
        <v>5353</v>
      </c>
      <c r="B2396" s="63" t="s">
        <v>5354</v>
      </c>
      <c r="C2396" s="79" t="s">
        <v>8912</v>
      </c>
    </row>
    <row r="2397" spans="1:3" x14ac:dyDescent="0.25">
      <c r="A2397" s="62" t="s">
        <v>5355</v>
      </c>
      <c r="B2397" s="63" t="s">
        <v>5356</v>
      </c>
      <c r="C2397" s="79" t="s">
        <v>8913</v>
      </c>
    </row>
    <row r="2398" spans="1:3" x14ac:dyDescent="0.25">
      <c r="A2398" s="62" t="s">
        <v>5357</v>
      </c>
      <c r="B2398" s="63" t="s">
        <v>5358</v>
      </c>
      <c r="C2398" s="79" t="s">
        <v>8752</v>
      </c>
    </row>
    <row r="2399" spans="1:3" x14ac:dyDescent="0.25">
      <c r="A2399" s="62" t="s">
        <v>5359</v>
      </c>
      <c r="B2399" s="63" t="s">
        <v>5360</v>
      </c>
      <c r="C2399" s="79" t="s">
        <v>8914</v>
      </c>
    </row>
    <row r="2400" spans="1:3" x14ac:dyDescent="0.25">
      <c r="A2400" s="62" t="s">
        <v>5361</v>
      </c>
      <c r="B2400" s="63" t="s">
        <v>5362</v>
      </c>
      <c r="C2400" s="79" t="s">
        <v>8752</v>
      </c>
    </row>
    <row r="2401" spans="1:3" x14ac:dyDescent="0.25">
      <c r="A2401" s="62" t="s">
        <v>5363</v>
      </c>
      <c r="B2401" s="63" t="s">
        <v>5364</v>
      </c>
      <c r="C2401" s="79" t="s">
        <v>8914</v>
      </c>
    </row>
    <row r="2402" spans="1:3" x14ac:dyDescent="0.25">
      <c r="A2402" s="62" t="s">
        <v>5365</v>
      </c>
      <c r="B2402" s="63" t="s">
        <v>5366</v>
      </c>
      <c r="C2402" s="79" t="s">
        <v>8752</v>
      </c>
    </row>
    <row r="2403" spans="1:3" x14ac:dyDescent="0.25">
      <c r="A2403" s="62" t="s">
        <v>5367</v>
      </c>
      <c r="B2403" s="63" t="s">
        <v>5368</v>
      </c>
      <c r="C2403" s="79" t="s">
        <v>8914</v>
      </c>
    </row>
    <row r="2404" spans="1:3" x14ac:dyDescent="0.25">
      <c r="A2404" s="62" t="s">
        <v>5369</v>
      </c>
      <c r="B2404" s="63" t="s">
        <v>5370</v>
      </c>
      <c r="C2404" s="79" t="s">
        <v>8752</v>
      </c>
    </row>
    <row r="2405" spans="1:3" x14ac:dyDescent="0.25">
      <c r="A2405" s="62" t="s">
        <v>5371</v>
      </c>
      <c r="B2405" s="63" t="s">
        <v>5372</v>
      </c>
      <c r="C2405" s="79" t="s">
        <v>8914</v>
      </c>
    </row>
    <row r="2406" spans="1:3" x14ac:dyDescent="0.25">
      <c r="A2406" s="62" t="s">
        <v>5373</v>
      </c>
      <c r="B2406" s="63" t="s">
        <v>5374</v>
      </c>
      <c r="C2406" s="79" t="s">
        <v>8752</v>
      </c>
    </row>
    <row r="2407" spans="1:3" x14ac:dyDescent="0.25">
      <c r="A2407" s="62" t="s">
        <v>5375</v>
      </c>
      <c r="B2407" s="63" t="s">
        <v>5376</v>
      </c>
      <c r="C2407" s="79" t="s">
        <v>8914</v>
      </c>
    </row>
    <row r="2408" spans="1:3" x14ac:dyDescent="0.25">
      <c r="A2408" s="62" t="s">
        <v>5377</v>
      </c>
      <c r="B2408" s="63" t="s">
        <v>5378</v>
      </c>
      <c r="C2408" s="79" t="s">
        <v>8752</v>
      </c>
    </row>
    <row r="2409" spans="1:3" x14ac:dyDescent="0.25">
      <c r="A2409" s="62" t="s">
        <v>5379</v>
      </c>
      <c r="B2409" s="63" t="s">
        <v>5380</v>
      </c>
      <c r="C2409" s="79" t="s">
        <v>8914</v>
      </c>
    </row>
    <row r="2410" spans="1:3" x14ac:dyDescent="0.25">
      <c r="A2410" s="62" t="s">
        <v>5381</v>
      </c>
      <c r="B2410" s="63" t="s">
        <v>5382</v>
      </c>
      <c r="C2410" s="79" t="s">
        <v>8752</v>
      </c>
    </row>
    <row r="2411" spans="1:3" x14ac:dyDescent="0.25">
      <c r="A2411" s="62" t="s">
        <v>5383</v>
      </c>
      <c r="B2411" s="63" t="s">
        <v>5384</v>
      </c>
      <c r="C2411" s="79" t="s">
        <v>8914</v>
      </c>
    </row>
    <row r="2412" spans="1:3" x14ac:dyDescent="0.25">
      <c r="A2412" s="62" t="s">
        <v>5385</v>
      </c>
      <c r="B2412" s="63" t="s">
        <v>5386</v>
      </c>
      <c r="C2412" s="79" t="s">
        <v>8752</v>
      </c>
    </row>
    <row r="2413" spans="1:3" x14ac:dyDescent="0.25">
      <c r="A2413" s="62" t="s">
        <v>5387</v>
      </c>
      <c r="B2413" s="63" t="s">
        <v>5388</v>
      </c>
      <c r="C2413" s="79" t="s">
        <v>8914</v>
      </c>
    </row>
    <row r="2414" spans="1:3" x14ac:dyDescent="0.25">
      <c r="A2414" s="62" t="s">
        <v>5389</v>
      </c>
      <c r="B2414" s="63" t="s">
        <v>5390</v>
      </c>
      <c r="C2414" s="79" t="s">
        <v>8752</v>
      </c>
    </row>
    <row r="2415" spans="1:3" x14ac:dyDescent="0.25">
      <c r="A2415" s="62" t="s">
        <v>5391</v>
      </c>
      <c r="B2415" s="63" t="s">
        <v>5392</v>
      </c>
      <c r="C2415" s="79" t="s">
        <v>8914</v>
      </c>
    </row>
    <row r="2416" spans="1:3" x14ac:dyDescent="0.25">
      <c r="A2416" s="62" t="s">
        <v>5393</v>
      </c>
      <c r="B2416" s="63" t="s">
        <v>5394</v>
      </c>
      <c r="C2416" s="79" t="s">
        <v>8752</v>
      </c>
    </row>
    <row r="2417" spans="1:3" x14ac:dyDescent="0.25">
      <c r="A2417" s="62" t="s">
        <v>5395</v>
      </c>
      <c r="B2417" s="63" t="s">
        <v>5396</v>
      </c>
      <c r="C2417" s="79" t="s">
        <v>8914</v>
      </c>
    </row>
    <row r="2418" spans="1:3" x14ac:dyDescent="0.25">
      <c r="A2418" s="62" t="s">
        <v>5397</v>
      </c>
      <c r="B2418" s="63" t="s">
        <v>5398</v>
      </c>
      <c r="C2418" s="79" t="s">
        <v>8905</v>
      </c>
    </row>
    <row r="2419" spans="1:3" x14ac:dyDescent="0.25">
      <c r="A2419" s="62" t="s">
        <v>5399</v>
      </c>
      <c r="B2419" s="63" t="s">
        <v>5400</v>
      </c>
      <c r="C2419" s="79" t="s">
        <v>8915</v>
      </c>
    </row>
    <row r="2420" spans="1:3" x14ac:dyDescent="0.25">
      <c r="A2420" s="62" t="s">
        <v>5401</v>
      </c>
      <c r="B2420" s="63" t="s">
        <v>5402</v>
      </c>
      <c r="C2420" s="79" t="s">
        <v>8905</v>
      </c>
    </row>
    <row r="2421" spans="1:3" x14ac:dyDescent="0.25">
      <c r="A2421" s="62" t="s">
        <v>5403</v>
      </c>
      <c r="B2421" s="63" t="s">
        <v>5404</v>
      </c>
      <c r="C2421" s="79" t="s">
        <v>8915</v>
      </c>
    </row>
    <row r="2422" spans="1:3" x14ac:dyDescent="0.25">
      <c r="A2422" s="62" t="s">
        <v>5405</v>
      </c>
      <c r="B2422" s="63" t="s">
        <v>5406</v>
      </c>
      <c r="C2422" s="79" t="s">
        <v>8905</v>
      </c>
    </row>
    <row r="2423" spans="1:3" x14ac:dyDescent="0.25">
      <c r="A2423" s="62" t="s">
        <v>5407</v>
      </c>
      <c r="B2423" s="63" t="s">
        <v>5408</v>
      </c>
      <c r="C2423" s="79" t="s">
        <v>8915</v>
      </c>
    </row>
    <row r="2424" spans="1:3" x14ac:dyDescent="0.25">
      <c r="A2424" s="62" t="s">
        <v>5409</v>
      </c>
      <c r="B2424" s="63" t="s">
        <v>5410</v>
      </c>
      <c r="C2424" s="79" t="s">
        <v>8905</v>
      </c>
    </row>
    <row r="2425" spans="1:3" x14ac:dyDescent="0.25">
      <c r="A2425" s="62" t="s">
        <v>5411</v>
      </c>
      <c r="B2425" s="63" t="s">
        <v>5412</v>
      </c>
      <c r="C2425" s="79" t="s">
        <v>8915</v>
      </c>
    </row>
    <row r="2426" spans="1:3" x14ac:dyDescent="0.25">
      <c r="A2426" s="62" t="s">
        <v>5413</v>
      </c>
      <c r="B2426" s="63" t="s">
        <v>5414</v>
      </c>
      <c r="C2426" s="79" t="s">
        <v>8905</v>
      </c>
    </row>
    <row r="2427" spans="1:3" x14ac:dyDescent="0.25">
      <c r="A2427" s="62" t="s">
        <v>5415</v>
      </c>
      <c r="B2427" s="63" t="s">
        <v>5416</v>
      </c>
      <c r="C2427" s="79" t="s">
        <v>8915</v>
      </c>
    </row>
    <row r="2428" spans="1:3" x14ac:dyDescent="0.25">
      <c r="A2428" s="62" t="s">
        <v>5417</v>
      </c>
      <c r="B2428" s="63" t="s">
        <v>5418</v>
      </c>
      <c r="C2428" s="79" t="s">
        <v>8905</v>
      </c>
    </row>
    <row r="2429" spans="1:3" x14ac:dyDescent="0.25">
      <c r="A2429" s="62" t="s">
        <v>5419</v>
      </c>
      <c r="B2429" s="63" t="s">
        <v>5420</v>
      </c>
      <c r="C2429" s="79" t="s">
        <v>8915</v>
      </c>
    </row>
    <row r="2430" spans="1:3" x14ac:dyDescent="0.25">
      <c r="A2430" s="62" t="s">
        <v>5421</v>
      </c>
      <c r="B2430" s="63" t="s">
        <v>5422</v>
      </c>
      <c r="C2430" s="79" t="s">
        <v>8905</v>
      </c>
    </row>
    <row r="2431" spans="1:3" x14ac:dyDescent="0.25">
      <c r="A2431" s="62" t="s">
        <v>5423</v>
      </c>
      <c r="B2431" s="63" t="s">
        <v>5424</v>
      </c>
      <c r="C2431" s="79" t="s">
        <v>8915</v>
      </c>
    </row>
    <row r="2432" spans="1:3" x14ac:dyDescent="0.25">
      <c r="A2432" s="62" t="s">
        <v>5425</v>
      </c>
      <c r="B2432" s="63" t="s">
        <v>5426</v>
      </c>
      <c r="C2432" s="79" t="s">
        <v>8905</v>
      </c>
    </row>
    <row r="2433" spans="1:3" x14ac:dyDescent="0.25">
      <c r="A2433" s="62" t="s">
        <v>5427</v>
      </c>
      <c r="B2433" s="63" t="s">
        <v>5428</v>
      </c>
      <c r="C2433" s="79" t="s">
        <v>8915</v>
      </c>
    </row>
    <row r="2434" spans="1:3" x14ac:dyDescent="0.25">
      <c r="A2434" s="62" t="s">
        <v>5429</v>
      </c>
      <c r="B2434" s="63" t="s">
        <v>5430</v>
      </c>
      <c r="C2434" s="79" t="s">
        <v>8915</v>
      </c>
    </row>
    <row r="2435" spans="1:3" x14ac:dyDescent="0.25">
      <c r="A2435" s="62" t="s">
        <v>5431</v>
      </c>
      <c r="B2435" s="63" t="s">
        <v>5432</v>
      </c>
      <c r="C2435" s="79" t="s">
        <v>8905</v>
      </c>
    </row>
    <row r="2436" spans="1:3" x14ac:dyDescent="0.25">
      <c r="A2436" s="62" t="s">
        <v>5433</v>
      </c>
      <c r="B2436" s="63" t="s">
        <v>5434</v>
      </c>
      <c r="C2436" s="79" t="s">
        <v>8915</v>
      </c>
    </row>
    <row r="2437" spans="1:3" x14ac:dyDescent="0.25">
      <c r="A2437" s="62" t="s">
        <v>5435</v>
      </c>
      <c r="B2437" s="63" t="s">
        <v>5436</v>
      </c>
      <c r="C2437" s="79" t="s">
        <v>8446</v>
      </c>
    </row>
    <row r="2438" spans="1:3" x14ac:dyDescent="0.25">
      <c r="A2438" s="62" t="s">
        <v>5437</v>
      </c>
      <c r="B2438" s="63" t="s">
        <v>5438</v>
      </c>
      <c r="C2438" s="79" t="s">
        <v>8916</v>
      </c>
    </row>
    <row r="2439" spans="1:3" x14ac:dyDescent="0.25">
      <c r="A2439" s="62" t="s">
        <v>5439</v>
      </c>
      <c r="B2439" s="63" t="s">
        <v>5440</v>
      </c>
      <c r="C2439" s="79" t="s">
        <v>8446</v>
      </c>
    </row>
    <row r="2440" spans="1:3" x14ac:dyDescent="0.25">
      <c r="A2440" s="62" t="s">
        <v>5441</v>
      </c>
      <c r="B2440" s="63" t="s">
        <v>5442</v>
      </c>
      <c r="C2440" s="79" t="s">
        <v>8916</v>
      </c>
    </row>
    <row r="2441" spans="1:3" x14ac:dyDescent="0.25">
      <c r="A2441" s="62" t="s">
        <v>5443</v>
      </c>
      <c r="B2441" s="63" t="s">
        <v>5444</v>
      </c>
      <c r="C2441" s="79" t="s">
        <v>8446</v>
      </c>
    </row>
    <row r="2442" spans="1:3" x14ac:dyDescent="0.25">
      <c r="A2442" s="62" t="s">
        <v>5445</v>
      </c>
      <c r="B2442" s="63" t="s">
        <v>5446</v>
      </c>
      <c r="C2442" s="79" t="s">
        <v>8916</v>
      </c>
    </row>
    <row r="2443" spans="1:3" x14ac:dyDescent="0.25">
      <c r="A2443" s="62" t="s">
        <v>5447</v>
      </c>
      <c r="B2443" s="63" t="s">
        <v>5448</v>
      </c>
      <c r="C2443" s="79" t="s">
        <v>8446</v>
      </c>
    </row>
    <row r="2444" spans="1:3" x14ac:dyDescent="0.25">
      <c r="A2444" s="62" t="s">
        <v>5449</v>
      </c>
      <c r="B2444" s="63" t="s">
        <v>5450</v>
      </c>
      <c r="C2444" s="79" t="s">
        <v>8916</v>
      </c>
    </row>
    <row r="2445" spans="1:3" x14ac:dyDescent="0.25">
      <c r="A2445" s="62" t="s">
        <v>5451</v>
      </c>
      <c r="B2445" s="63" t="s">
        <v>5452</v>
      </c>
      <c r="C2445" s="79" t="s">
        <v>8446</v>
      </c>
    </row>
    <row r="2446" spans="1:3" x14ac:dyDescent="0.25">
      <c r="A2446" s="62" t="s">
        <v>5453</v>
      </c>
      <c r="B2446" s="63" t="s">
        <v>5454</v>
      </c>
      <c r="C2446" s="79" t="s">
        <v>8916</v>
      </c>
    </row>
    <row r="2447" spans="1:3" x14ac:dyDescent="0.25">
      <c r="A2447" s="62" t="s">
        <v>5455</v>
      </c>
      <c r="B2447" s="63" t="s">
        <v>5456</v>
      </c>
      <c r="C2447" s="79" t="s">
        <v>8891</v>
      </c>
    </row>
    <row r="2448" spans="1:3" x14ac:dyDescent="0.25">
      <c r="A2448" s="62" t="s">
        <v>5457</v>
      </c>
      <c r="B2448" s="63" t="s">
        <v>5458</v>
      </c>
      <c r="C2448" s="79" t="s">
        <v>8917</v>
      </c>
    </row>
    <row r="2449" spans="1:3" x14ac:dyDescent="0.25">
      <c r="A2449" s="62" t="s">
        <v>5459</v>
      </c>
      <c r="B2449" s="63" t="s">
        <v>5460</v>
      </c>
      <c r="C2449" s="79" t="s">
        <v>8891</v>
      </c>
    </row>
    <row r="2450" spans="1:3" x14ac:dyDescent="0.25">
      <c r="A2450" s="62" t="s">
        <v>5461</v>
      </c>
      <c r="B2450" s="63" t="s">
        <v>5462</v>
      </c>
      <c r="C2450" s="79" t="s">
        <v>8917</v>
      </c>
    </row>
    <row r="2451" spans="1:3" x14ac:dyDescent="0.25">
      <c r="A2451" s="62" t="s">
        <v>5463</v>
      </c>
      <c r="B2451" s="63" t="s">
        <v>5464</v>
      </c>
      <c r="C2451" s="79" t="s">
        <v>8891</v>
      </c>
    </row>
    <row r="2452" spans="1:3" x14ac:dyDescent="0.25">
      <c r="A2452" s="62" t="s">
        <v>5465</v>
      </c>
      <c r="B2452" s="63" t="s">
        <v>5466</v>
      </c>
      <c r="C2452" s="79" t="s">
        <v>8917</v>
      </c>
    </row>
    <row r="2453" spans="1:3" x14ac:dyDescent="0.25">
      <c r="A2453" s="62" t="s">
        <v>5467</v>
      </c>
      <c r="B2453" s="63" t="s">
        <v>5468</v>
      </c>
      <c r="C2453" s="79" t="s">
        <v>8891</v>
      </c>
    </row>
    <row r="2454" spans="1:3" x14ac:dyDescent="0.25">
      <c r="A2454" s="62" t="s">
        <v>5469</v>
      </c>
      <c r="B2454" s="63" t="s">
        <v>5470</v>
      </c>
      <c r="C2454" s="79" t="s">
        <v>8917</v>
      </c>
    </row>
    <row r="2455" spans="1:3" x14ac:dyDescent="0.25">
      <c r="A2455" s="62" t="s">
        <v>5471</v>
      </c>
      <c r="B2455" s="63" t="s">
        <v>5472</v>
      </c>
      <c r="C2455" s="79" t="s">
        <v>8891</v>
      </c>
    </row>
    <row r="2456" spans="1:3" x14ac:dyDescent="0.25">
      <c r="A2456" s="62" t="s">
        <v>5473</v>
      </c>
      <c r="B2456" s="63" t="s">
        <v>5474</v>
      </c>
      <c r="C2456" s="79" t="s">
        <v>8917</v>
      </c>
    </row>
    <row r="2457" spans="1:3" x14ac:dyDescent="0.25">
      <c r="A2457" s="62" t="s">
        <v>5475</v>
      </c>
      <c r="B2457" s="63" t="s">
        <v>5476</v>
      </c>
      <c r="C2457" s="79" t="s">
        <v>8918</v>
      </c>
    </row>
    <row r="2458" spans="1:3" x14ac:dyDescent="0.25">
      <c r="A2458" s="62" t="s">
        <v>5477</v>
      </c>
      <c r="B2458" s="63" t="s">
        <v>5478</v>
      </c>
      <c r="C2458" s="79" t="s">
        <v>8919</v>
      </c>
    </row>
    <row r="2459" spans="1:3" x14ac:dyDescent="0.25">
      <c r="A2459" s="62" t="s">
        <v>5479</v>
      </c>
      <c r="B2459" s="63" t="s">
        <v>5480</v>
      </c>
      <c r="C2459" s="79" t="s">
        <v>8918</v>
      </c>
    </row>
    <row r="2460" spans="1:3" x14ac:dyDescent="0.25">
      <c r="A2460" s="62" t="s">
        <v>5481</v>
      </c>
      <c r="B2460" s="63" t="s">
        <v>5482</v>
      </c>
      <c r="C2460" s="79" t="s">
        <v>8919</v>
      </c>
    </row>
    <row r="2461" spans="1:3" x14ac:dyDescent="0.25">
      <c r="A2461" s="62" t="s">
        <v>5483</v>
      </c>
      <c r="B2461" s="63" t="s">
        <v>5484</v>
      </c>
      <c r="C2461" s="79" t="s">
        <v>8918</v>
      </c>
    </row>
    <row r="2462" spans="1:3" x14ac:dyDescent="0.25">
      <c r="A2462" s="62" t="s">
        <v>5485</v>
      </c>
      <c r="B2462" s="63" t="s">
        <v>5486</v>
      </c>
      <c r="C2462" s="79" t="s">
        <v>8919</v>
      </c>
    </row>
    <row r="2463" spans="1:3" x14ac:dyDescent="0.25">
      <c r="A2463" s="62" t="s">
        <v>5487</v>
      </c>
      <c r="B2463" s="63" t="s">
        <v>5488</v>
      </c>
      <c r="C2463" s="79" t="s">
        <v>8918</v>
      </c>
    </row>
    <row r="2464" spans="1:3" x14ac:dyDescent="0.25">
      <c r="A2464" s="62" t="s">
        <v>5489</v>
      </c>
      <c r="B2464" s="63" t="s">
        <v>5490</v>
      </c>
      <c r="C2464" s="79" t="s">
        <v>8919</v>
      </c>
    </row>
    <row r="2465" spans="1:3" x14ac:dyDescent="0.25">
      <c r="A2465" s="62" t="s">
        <v>5491</v>
      </c>
      <c r="B2465" s="63" t="s">
        <v>5492</v>
      </c>
      <c r="C2465" s="79" t="s">
        <v>8918</v>
      </c>
    </row>
    <row r="2466" spans="1:3" x14ac:dyDescent="0.25">
      <c r="A2466" s="62" t="s">
        <v>5493</v>
      </c>
      <c r="B2466" s="63" t="s">
        <v>5494</v>
      </c>
      <c r="C2466" s="79" t="s">
        <v>8919</v>
      </c>
    </row>
    <row r="2467" spans="1:3" x14ac:dyDescent="0.25">
      <c r="A2467" s="62" t="s">
        <v>5495</v>
      </c>
      <c r="B2467" s="63" t="s">
        <v>5496</v>
      </c>
      <c r="C2467" s="79" t="s">
        <v>8918</v>
      </c>
    </row>
    <row r="2468" spans="1:3" x14ac:dyDescent="0.25">
      <c r="A2468" s="62" t="s">
        <v>5497</v>
      </c>
      <c r="B2468" s="63" t="s">
        <v>5498</v>
      </c>
      <c r="C2468" s="79" t="s">
        <v>8919</v>
      </c>
    </row>
    <row r="2469" spans="1:3" x14ac:dyDescent="0.25">
      <c r="A2469" s="62" t="s">
        <v>5499</v>
      </c>
      <c r="B2469" s="63" t="s">
        <v>5500</v>
      </c>
      <c r="C2469" s="79" t="s">
        <v>8918</v>
      </c>
    </row>
    <row r="2470" spans="1:3" x14ac:dyDescent="0.25">
      <c r="A2470" s="62" t="s">
        <v>5501</v>
      </c>
      <c r="B2470" s="63" t="s">
        <v>5502</v>
      </c>
      <c r="C2470" s="79" t="s">
        <v>8919</v>
      </c>
    </row>
    <row r="2471" spans="1:3" x14ac:dyDescent="0.25">
      <c r="A2471" s="62" t="s">
        <v>5503</v>
      </c>
      <c r="B2471" s="63" t="s">
        <v>5504</v>
      </c>
      <c r="C2471" s="79" t="s">
        <v>8918</v>
      </c>
    </row>
    <row r="2472" spans="1:3" x14ac:dyDescent="0.25">
      <c r="A2472" s="62" t="s">
        <v>5505</v>
      </c>
      <c r="B2472" s="63" t="s">
        <v>5506</v>
      </c>
      <c r="C2472" s="79" t="s">
        <v>8919</v>
      </c>
    </row>
    <row r="2473" spans="1:3" x14ac:dyDescent="0.25">
      <c r="A2473" s="62" t="s">
        <v>5507</v>
      </c>
      <c r="B2473" s="63" t="s">
        <v>5508</v>
      </c>
      <c r="C2473" s="79" t="s">
        <v>8918</v>
      </c>
    </row>
    <row r="2474" spans="1:3" x14ac:dyDescent="0.25">
      <c r="A2474" s="62" t="s">
        <v>5509</v>
      </c>
      <c r="B2474" s="63" t="s">
        <v>5510</v>
      </c>
      <c r="C2474" s="79" t="s">
        <v>8919</v>
      </c>
    </row>
    <row r="2475" spans="1:3" x14ac:dyDescent="0.25">
      <c r="A2475" s="62" t="s">
        <v>5511</v>
      </c>
      <c r="B2475" s="63" t="s">
        <v>5512</v>
      </c>
      <c r="C2475" s="79" t="s">
        <v>8918</v>
      </c>
    </row>
    <row r="2476" spans="1:3" x14ac:dyDescent="0.25">
      <c r="A2476" s="62" t="s">
        <v>5513</v>
      </c>
      <c r="B2476" s="63" t="s">
        <v>5514</v>
      </c>
      <c r="C2476" s="79" t="s">
        <v>8919</v>
      </c>
    </row>
    <row r="2477" spans="1:3" x14ac:dyDescent="0.25">
      <c r="A2477" s="62" t="s">
        <v>5515</v>
      </c>
      <c r="B2477" s="63" t="s">
        <v>5516</v>
      </c>
      <c r="C2477" s="79" t="s">
        <v>8905</v>
      </c>
    </row>
    <row r="2478" spans="1:3" x14ac:dyDescent="0.25">
      <c r="A2478" s="62" t="s">
        <v>5517</v>
      </c>
      <c r="B2478" s="63" t="s">
        <v>5518</v>
      </c>
      <c r="C2478" s="79" t="s">
        <v>8905</v>
      </c>
    </row>
    <row r="2479" spans="1:3" x14ac:dyDescent="0.25">
      <c r="A2479" s="62" t="s">
        <v>5519</v>
      </c>
      <c r="B2479" s="63" t="s">
        <v>5520</v>
      </c>
      <c r="C2479" s="79" t="s">
        <v>8905</v>
      </c>
    </row>
    <row r="2480" spans="1:3" x14ac:dyDescent="0.25">
      <c r="A2480" s="62" t="s">
        <v>5521</v>
      </c>
      <c r="B2480" s="63" t="s">
        <v>5522</v>
      </c>
      <c r="C2480" s="79" t="s">
        <v>8905</v>
      </c>
    </row>
    <row r="2481" spans="1:3" x14ac:dyDescent="0.25">
      <c r="A2481" s="62" t="s">
        <v>5523</v>
      </c>
      <c r="B2481" s="63" t="s">
        <v>5524</v>
      </c>
      <c r="C2481" s="79" t="s">
        <v>8905</v>
      </c>
    </row>
    <row r="2482" spans="1:3" x14ac:dyDescent="0.25">
      <c r="A2482" s="62" t="s">
        <v>5525</v>
      </c>
      <c r="B2482" s="63" t="s">
        <v>5526</v>
      </c>
      <c r="C2482" s="79" t="s">
        <v>8905</v>
      </c>
    </row>
    <row r="2483" spans="1:3" x14ac:dyDescent="0.25">
      <c r="A2483" s="62" t="s">
        <v>5527</v>
      </c>
      <c r="B2483" s="63" t="s">
        <v>5528</v>
      </c>
      <c r="C2483" s="79" t="s">
        <v>8905</v>
      </c>
    </row>
    <row r="2484" spans="1:3" x14ac:dyDescent="0.25">
      <c r="A2484" s="62" t="s">
        <v>5529</v>
      </c>
      <c r="B2484" s="63" t="s">
        <v>5530</v>
      </c>
      <c r="C2484" s="79" t="s">
        <v>8905</v>
      </c>
    </row>
    <row r="2485" spans="1:3" x14ac:dyDescent="0.25">
      <c r="A2485" s="62" t="s">
        <v>5531</v>
      </c>
      <c r="B2485" s="63" t="s">
        <v>5532</v>
      </c>
      <c r="C2485" s="79" t="s">
        <v>8905</v>
      </c>
    </row>
    <row r="2486" spans="1:3" x14ac:dyDescent="0.25">
      <c r="A2486" s="62" t="s">
        <v>5533</v>
      </c>
      <c r="B2486" s="63" t="s">
        <v>5534</v>
      </c>
      <c r="C2486" s="79" t="s">
        <v>8905</v>
      </c>
    </row>
    <row r="2487" spans="1:3" x14ac:dyDescent="0.25">
      <c r="A2487" s="62" t="s">
        <v>5535</v>
      </c>
      <c r="B2487" s="63" t="s">
        <v>5536</v>
      </c>
      <c r="C2487" s="79" t="s">
        <v>8446</v>
      </c>
    </row>
    <row r="2488" spans="1:3" x14ac:dyDescent="0.25">
      <c r="A2488" s="62" t="s">
        <v>5537</v>
      </c>
      <c r="B2488" s="63" t="s">
        <v>5538</v>
      </c>
      <c r="C2488" s="79" t="s">
        <v>8446</v>
      </c>
    </row>
    <row r="2489" spans="1:3" x14ac:dyDescent="0.25">
      <c r="A2489" s="62" t="s">
        <v>5539</v>
      </c>
      <c r="B2489" s="63" t="s">
        <v>5540</v>
      </c>
      <c r="C2489" s="79" t="s">
        <v>8446</v>
      </c>
    </row>
    <row r="2490" spans="1:3" x14ac:dyDescent="0.25">
      <c r="A2490" s="62" t="s">
        <v>5541</v>
      </c>
      <c r="B2490" s="63" t="s">
        <v>5542</v>
      </c>
      <c r="C2490" s="79" t="s">
        <v>8446</v>
      </c>
    </row>
    <row r="2491" spans="1:3" x14ac:dyDescent="0.25">
      <c r="A2491" s="62" t="s">
        <v>5543</v>
      </c>
      <c r="B2491" s="63" t="s">
        <v>5544</v>
      </c>
      <c r="C2491" s="79" t="s">
        <v>8446</v>
      </c>
    </row>
    <row r="2492" spans="1:3" x14ac:dyDescent="0.25">
      <c r="A2492" s="62" t="s">
        <v>5545</v>
      </c>
      <c r="B2492" s="63" t="s">
        <v>5546</v>
      </c>
      <c r="C2492" s="79" t="s">
        <v>8891</v>
      </c>
    </row>
    <row r="2493" spans="1:3" x14ac:dyDescent="0.25">
      <c r="A2493" s="62" t="s">
        <v>5547</v>
      </c>
      <c r="B2493" s="63" t="s">
        <v>5548</v>
      </c>
      <c r="C2493" s="79" t="s">
        <v>8891</v>
      </c>
    </row>
    <row r="2494" spans="1:3" x14ac:dyDescent="0.25">
      <c r="A2494" s="62" t="s">
        <v>5549</v>
      </c>
      <c r="B2494" s="63" t="s">
        <v>5550</v>
      </c>
      <c r="C2494" s="79" t="s">
        <v>8891</v>
      </c>
    </row>
    <row r="2495" spans="1:3" x14ac:dyDescent="0.25">
      <c r="A2495" s="62" t="s">
        <v>5551</v>
      </c>
      <c r="B2495" s="63" t="s">
        <v>5552</v>
      </c>
      <c r="C2495" s="79" t="s">
        <v>8891</v>
      </c>
    </row>
    <row r="2496" spans="1:3" x14ac:dyDescent="0.25">
      <c r="A2496" s="62" t="s">
        <v>5553</v>
      </c>
      <c r="B2496" s="63" t="s">
        <v>5554</v>
      </c>
      <c r="C2496" s="79" t="s">
        <v>8891</v>
      </c>
    </row>
    <row r="2497" spans="1:3" x14ac:dyDescent="0.25">
      <c r="A2497" s="62" t="s">
        <v>5555</v>
      </c>
      <c r="B2497" s="63" t="s">
        <v>5556</v>
      </c>
      <c r="C2497" s="79" t="s">
        <v>8918</v>
      </c>
    </row>
    <row r="2498" spans="1:3" x14ac:dyDescent="0.25">
      <c r="A2498" s="62" t="s">
        <v>5557</v>
      </c>
      <c r="B2498" s="63" t="s">
        <v>5558</v>
      </c>
      <c r="C2498" s="79" t="s">
        <v>8918</v>
      </c>
    </row>
    <row r="2499" spans="1:3" x14ac:dyDescent="0.25">
      <c r="A2499" s="62" t="s">
        <v>5559</v>
      </c>
      <c r="B2499" s="63" t="s">
        <v>5560</v>
      </c>
      <c r="C2499" s="79" t="s">
        <v>8918</v>
      </c>
    </row>
    <row r="2500" spans="1:3" x14ac:dyDescent="0.25">
      <c r="A2500" s="62" t="s">
        <v>5561</v>
      </c>
      <c r="B2500" s="63" t="s">
        <v>5562</v>
      </c>
      <c r="C2500" s="79" t="s">
        <v>8918</v>
      </c>
    </row>
    <row r="2501" spans="1:3" x14ac:dyDescent="0.25">
      <c r="A2501" s="62" t="s">
        <v>5563</v>
      </c>
      <c r="B2501" s="63" t="s">
        <v>5564</v>
      </c>
      <c r="C2501" s="79" t="s">
        <v>8918</v>
      </c>
    </row>
    <row r="2502" spans="1:3" x14ac:dyDescent="0.25">
      <c r="A2502" s="62" t="s">
        <v>5565</v>
      </c>
      <c r="B2502" s="63" t="s">
        <v>5566</v>
      </c>
      <c r="C2502" s="79" t="s">
        <v>8918</v>
      </c>
    </row>
    <row r="2503" spans="1:3" x14ac:dyDescent="0.25">
      <c r="A2503" s="62" t="s">
        <v>5567</v>
      </c>
      <c r="B2503" s="63" t="s">
        <v>5568</v>
      </c>
      <c r="C2503" s="79" t="s">
        <v>8918</v>
      </c>
    </row>
    <row r="2504" spans="1:3" x14ac:dyDescent="0.25">
      <c r="A2504" s="62" t="s">
        <v>5569</v>
      </c>
      <c r="B2504" s="63" t="s">
        <v>5570</v>
      </c>
      <c r="C2504" s="79" t="s">
        <v>8918</v>
      </c>
    </row>
    <row r="2505" spans="1:3" x14ac:dyDescent="0.25">
      <c r="A2505" s="62" t="s">
        <v>5571</v>
      </c>
      <c r="B2505" s="63" t="s">
        <v>5572</v>
      </c>
      <c r="C2505" s="79" t="s">
        <v>8918</v>
      </c>
    </row>
    <row r="2506" spans="1:3" x14ac:dyDescent="0.25">
      <c r="A2506" s="62" t="s">
        <v>5573</v>
      </c>
      <c r="B2506" s="63" t="s">
        <v>5574</v>
      </c>
      <c r="C2506" s="79" t="s">
        <v>8918</v>
      </c>
    </row>
    <row r="2507" spans="1:3" x14ac:dyDescent="0.25">
      <c r="A2507" s="62" t="s">
        <v>5575</v>
      </c>
      <c r="B2507" s="63" t="s">
        <v>5576</v>
      </c>
      <c r="C2507" s="79" t="s">
        <v>8920</v>
      </c>
    </row>
    <row r="2508" spans="1:3" x14ac:dyDescent="0.25">
      <c r="A2508" s="62" t="s">
        <v>5577</v>
      </c>
      <c r="B2508" s="63" t="s">
        <v>5578</v>
      </c>
      <c r="C2508" s="79" t="s">
        <v>8920</v>
      </c>
    </row>
    <row r="2509" spans="1:3" x14ac:dyDescent="0.25">
      <c r="A2509" s="62" t="s">
        <v>5579</v>
      </c>
      <c r="B2509" s="63" t="s">
        <v>5580</v>
      </c>
      <c r="C2509" s="79" t="s">
        <v>8920</v>
      </c>
    </row>
    <row r="2510" spans="1:3" x14ac:dyDescent="0.25">
      <c r="A2510" s="62" t="s">
        <v>5581</v>
      </c>
      <c r="B2510" s="63" t="s">
        <v>5582</v>
      </c>
      <c r="C2510" s="79" t="s">
        <v>8920</v>
      </c>
    </row>
    <row r="2511" spans="1:3" x14ac:dyDescent="0.25">
      <c r="A2511" s="62" t="s">
        <v>5583</v>
      </c>
      <c r="B2511" s="63" t="s">
        <v>5584</v>
      </c>
      <c r="C2511" s="79" t="s">
        <v>8920</v>
      </c>
    </row>
    <row r="2512" spans="1:3" x14ac:dyDescent="0.25">
      <c r="A2512" s="62" t="s">
        <v>5585</v>
      </c>
      <c r="B2512" s="63" t="s">
        <v>5586</v>
      </c>
      <c r="C2512" s="79" t="s">
        <v>8920</v>
      </c>
    </row>
    <row r="2513" spans="1:3" x14ac:dyDescent="0.25">
      <c r="A2513" s="62" t="s">
        <v>5587</v>
      </c>
      <c r="B2513" s="63" t="s">
        <v>5588</v>
      </c>
      <c r="C2513" s="79" t="s">
        <v>8920</v>
      </c>
    </row>
    <row r="2514" spans="1:3" x14ac:dyDescent="0.25">
      <c r="A2514" s="62" t="s">
        <v>5589</v>
      </c>
      <c r="B2514" s="63" t="s">
        <v>5590</v>
      </c>
      <c r="C2514" s="79" t="s">
        <v>8920</v>
      </c>
    </row>
    <row r="2515" spans="1:3" x14ac:dyDescent="0.25">
      <c r="A2515" s="62" t="s">
        <v>5591</v>
      </c>
      <c r="B2515" s="63" t="s">
        <v>5592</v>
      </c>
      <c r="C2515" s="79" t="s">
        <v>8920</v>
      </c>
    </row>
    <row r="2516" spans="1:3" x14ac:dyDescent="0.25">
      <c r="A2516" s="62" t="s">
        <v>5593</v>
      </c>
      <c r="B2516" s="63" t="s">
        <v>5594</v>
      </c>
      <c r="C2516" s="79" t="s">
        <v>8920</v>
      </c>
    </row>
    <row r="2517" spans="1:3" x14ac:dyDescent="0.25">
      <c r="A2517" s="62" t="s">
        <v>5595</v>
      </c>
      <c r="B2517" s="63" t="s">
        <v>5596</v>
      </c>
      <c r="C2517" s="79" t="s">
        <v>8481</v>
      </c>
    </row>
    <row r="2518" spans="1:3" x14ac:dyDescent="0.25">
      <c r="A2518" s="62" t="s">
        <v>5597</v>
      </c>
      <c r="B2518" s="63" t="s">
        <v>5598</v>
      </c>
      <c r="C2518" s="79" t="s">
        <v>8481</v>
      </c>
    </row>
    <row r="2519" spans="1:3" x14ac:dyDescent="0.25">
      <c r="A2519" s="62" t="s">
        <v>5599</v>
      </c>
      <c r="B2519" s="63" t="s">
        <v>5600</v>
      </c>
      <c r="C2519" s="79" t="s">
        <v>8481</v>
      </c>
    </row>
    <row r="2520" spans="1:3" x14ac:dyDescent="0.25">
      <c r="A2520" s="62" t="s">
        <v>5601</v>
      </c>
      <c r="B2520" s="63" t="s">
        <v>5602</v>
      </c>
      <c r="C2520" s="79" t="s">
        <v>8481</v>
      </c>
    </row>
    <row r="2521" spans="1:3" x14ac:dyDescent="0.25">
      <c r="A2521" s="62" t="s">
        <v>5603</v>
      </c>
      <c r="B2521" s="63" t="s">
        <v>5604</v>
      </c>
      <c r="C2521" s="79" t="s">
        <v>8481</v>
      </c>
    </row>
    <row r="2522" spans="1:3" x14ac:dyDescent="0.25">
      <c r="A2522" s="62" t="s">
        <v>5605</v>
      </c>
      <c r="B2522" s="63" t="s">
        <v>5606</v>
      </c>
      <c r="C2522" s="79" t="s">
        <v>8496</v>
      </c>
    </row>
    <row r="2523" spans="1:3" x14ac:dyDescent="0.25">
      <c r="A2523" s="62" t="s">
        <v>5607</v>
      </c>
      <c r="B2523" s="63" t="s">
        <v>5608</v>
      </c>
      <c r="C2523" s="79" t="s">
        <v>8496</v>
      </c>
    </row>
    <row r="2524" spans="1:3" x14ac:dyDescent="0.25">
      <c r="A2524" s="62" t="s">
        <v>5609</v>
      </c>
      <c r="B2524" s="63" t="s">
        <v>5610</v>
      </c>
      <c r="C2524" s="79" t="s">
        <v>8496</v>
      </c>
    </row>
    <row r="2525" spans="1:3" x14ac:dyDescent="0.25">
      <c r="A2525" s="62" t="s">
        <v>5611</v>
      </c>
      <c r="B2525" s="63" t="s">
        <v>5612</v>
      </c>
      <c r="C2525" s="79" t="s">
        <v>8496</v>
      </c>
    </row>
    <row r="2526" spans="1:3" x14ac:dyDescent="0.25">
      <c r="A2526" s="62" t="s">
        <v>5613</v>
      </c>
      <c r="B2526" s="63" t="s">
        <v>5614</v>
      </c>
      <c r="C2526" s="79" t="s">
        <v>8496</v>
      </c>
    </row>
    <row r="2527" spans="1:3" x14ac:dyDescent="0.25">
      <c r="A2527" s="62" t="s">
        <v>5615</v>
      </c>
      <c r="B2527" s="63" t="s">
        <v>5616</v>
      </c>
      <c r="C2527" s="79" t="s">
        <v>8583</v>
      </c>
    </row>
    <row r="2528" spans="1:3" x14ac:dyDescent="0.25">
      <c r="A2528" s="62" t="s">
        <v>5617</v>
      </c>
      <c r="B2528" s="63" t="s">
        <v>5618</v>
      </c>
      <c r="C2528" s="79" t="s">
        <v>8583</v>
      </c>
    </row>
    <row r="2529" spans="1:3" x14ac:dyDescent="0.25">
      <c r="A2529" s="62" t="s">
        <v>5619</v>
      </c>
      <c r="B2529" s="63" t="s">
        <v>5620</v>
      </c>
      <c r="C2529" s="79" t="s">
        <v>8583</v>
      </c>
    </row>
    <row r="2530" spans="1:3" x14ac:dyDescent="0.25">
      <c r="A2530" s="62" t="s">
        <v>5621</v>
      </c>
      <c r="B2530" s="63" t="s">
        <v>5622</v>
      </c>
      <c r="C2530" s="79" t="s">
        <v>8583</v>
      </c>
    </row>
    <row r="2531" spans="1:3" x14ac:dyDescent="0.25">
      <c r="A2531" s="62" t="s">
        <v>5623</v>
      </c>
      <c r="B2531" s="63" t="s">
        <v>5624</v>
      </c>
      <c r="C2531" s="79" t="s">
        <v>8583</v>
      </c>
    </row>
    <row r="2532" spans="1:3" x14ac:dyDescent="0.25">
      <c r="A2532" s="62" t="s">
        <v>5625</v>
      </c>
      <c r="B2532" s="63" t="s">
        <v>5626</v>
      </c>
      <c r="C2532" s="79" t="s">
        <v>8583</v>
      </c>
    </row>
    <row r="2533" spans="1:3" x14ac:dyDescent="0.25">
      <c r="A2533" s="62" t="s">
        <v>5627</v>
      </c>
      <c r="B2533" s="63" t="s">
        <v>5628</v>
      </c>
      <c r="C2533" s="79" t="s">
        <v>8583</v>
      </c>
    </row>
    <row r="2534" spans="1:3" x14ac:dyDescent="0.25">
      <c r="A2534" s="62" t="s">
        <v>5629</v>
      </c>
      <c r="B2534" s="63" t="s">
        <v>5630</v>
      </c>
      <c r="C2534" s="79" t="s">
        <v>8583</v>
      </c>
    </row>
    <row r="2535" spans="1:3" x14ac:dyDescent="0.25">
      <c r="A2535" s="62" t="s">
        <v>5631</v>
      </c>
      <c r="B2535" s="63" t="s">
        <v>5632</v>
      </c>
      <c r="C2535" s="79" t="s">
        <v>8583</v>
      </c>
    </row>
    <row r="2536" spans="1:3" x14ac:dyDescent="0.25">
      <c r="A2536" s="62" t="s">
        <v>5633</v>
      </c>
      <c r="B2536" s="63" t="s">
        <v>5634</v>
      </c>
      <c r="C2536" s="79" t="s">
        <v>8583</v>
      </c>
    </row>
    <row r="2537" spans="1:3" x14ac:dyDescent="0.25">
      <c r="A2537" s="62" t="s">
        <v>5635</v>
      </c>
      <c r="B2537" s="63" t="s">
        <v>5636</v>
      </c>
      <c r="C2537" s="79" t="s">
        <v>8790</v>
      </c>
    </row>
    <row r="2538" spans="1:3" x14ac:dyDescent="0.25">
      <c r="A2538" s="62" t="s">
        <v>5637</v>
      </c>
      <c r="B2538" s="63" t="s">
        <v>5638</v>
      </c>
      <c r="C2538" s="79" t="s">
        <v>8790</v>
      </c>
    </row>
    <row r="2539" spans="1:3" x14ac:dyDescent="0.25">
      <c r="A2539" s="62" t="s">
        <v>5639</v>
      </c>
      <c r="B2539" s="63" t="s">
        <v>5640</v>
      </c>
      <c r="C2539" s="79" t="s">
        <v>8790</v>
      </c>
    </row>
    <row r="2540" spans="1:3" x14ac:dyDescent="0.25">
      <c r="A2540" s="62" t="s">
        <v>5641</v>
      </c>
      <c r="B2540" s="63" t="s">
        <v>5642</v>
      </c>
      <c r="C2540" s="79" t="s">
        <v>8790</v>
      </c>
    </row>
    <row r="2541" spans="1:3" x14ac:dyDescent="0.25">
      <c r="A2541" s="62" t="s">
        <v>5643</v>
      </c>
      <c r="B2541" s="63" t="s">
        <v>5644</v>
      </c>
      <c r="C2541" s="79" t="s">
        <v>8790</v>
      </c>
    </row>
    <row r="2542" spans="1:3" x14ac:dyDescent="0.25">
      <c r="A2542" s="62" t="s">
        <v>5645</v>
      </c>
      <c r="B2542" s="63" t="s">
        <v>5646</v>
      </c>
      <c r="C2542" s="79" t="s">
        <v>8790</v>
      </c>
    </row>
    <row r="2543" spans="1:3" x14ac:dyDescent="0.25">
      <c r="A2543" s="62" t="s">
        <v>5647</v>
      </c>
      <c r="B2543" s="63" t="s">
        <v>5648</v>
      </c>
      <c r="C2543" s="79" t="s">
        <v>8790</v>
      </c>
    </row>
    <row r="2544" spans="1:3" x14ac:dyDescent="0.25">
      <c r="A2544" s="62" t="s">
        <v>5649</v>
      </c>
      <c r="B2544" s="63" t="s">
        <v>5650</v>
      </c>
      <c r="C2544" s="79" t="s">
        <v>8790</v>
      </c>
    </row>
    <row r="2545" spans="1:3" x14ac:dyDescent="0.25">
      <c r="A2545" s="62" t="s">
        <v>5651</v>
      </c>
      <c r="B2545" s="63" t="s">
        <v>5652</v>
      </c>
      <c r="C2545" s="79" t="s">
        <v>8790</v>
      </c>
    </row>
    <row r="2546" spans="1:3" x14ac:dyDescent="0.25">
      <c r="A2546" s="62" t="s">
        <v>5653</v>
      </c>
      <c r="B2546" s="63" t="s">
        <v>5654</v>
      </c>
      <c r="C2546" s="79" t="s">
        <v>8790</v>
      </c>
    </row>
    <row r="2547" spans="1:3" x14ac:dyDescent="0.25">
      <c r="A2547" s="62" t="s">
        <v>5655</v>
      </c>
      <c r="B2547" s="63" t="s">
        <v>5656</v>
      </c>
      <c r="C2547" s="79" t="s">
        <v>8734</v>
      </c>
    </row>
    <row r="2548" spans="1:3" x14ac:dyDescent="0.25">
      <c r="A2548" s="62" t="s">
        <v>5657</v>
      </c>
      <c r="B2548" s="63" t="s">
        <v>5658</v>
      </c>
      <c r="C2548" s="79" t="s">
        <v>8734</v>
      </c>
    </row>
    <row r="2549" spans="1:3" x14ac:dyDescent="0.25">
      <c r="A2549" s="62" t="s">
        <v>5659</v>
      </c>
      <c r="B2549" s="63" t="s">
        <v>5660</v>
      </c>
      <c r="C2549" s="79" t="s">
        <v>8734</v>
      </c>
    </row>
    <row r="2550" spans="1:3" x14ac:dyDescent="0.25">
      <c r="A2550" s="62" t="s">
        <v>5661</v>
      </c>
      <c r="B2550" s="63" t="s">
        <v>5662</v>
      </c>
      <c r="C2550" s="79" t="s">
        <v>8734</v>
      </c>
    </row>
    <row r="2551" spans="1:3" x14ac:dyDescent="0.25">
      <c r="A2551" s="62" t="s">
        <v>5663</v>
      </c>
      <c r="B2551" s="63" t="s">
        <v>5664</v>
      </c>
      <c r="C2551" s="79" t="s">
        <v>8734</v>
      </c>
    </row>
    <row r="2552" spans="1:3" x14ac:dyDescent="0.25">
      <c r="A2552" s="62" t="s">
        <v>5665</v>
      </c>
      <c r="B2552" s="63" t="s">
        <v>5666</v>
      </c>
      <c r="C2552" s="79" t="s">
        <v>8734</v>
      </c>
    </row>
    <row r="2553" spans="1:3" x14ac:dyDescent="0.25">
      <c r="A2553" s="62" t="s">
        <v>5667</v>
      </c>
      <c r="B2553" s="63" t="s">
        <v>5668</v>
      </c>
      <c r="C2553" s="79" t="s">
        <v>8734</v>
      </c>
    </row>
    <row r="2554" spans="1:3" x14ac:dyDescent="0.25">
      <c r="A2554" s="62" t="s">
        <v>5669</v>
      </c>
      <c r="B2554" s="63" t="s">
        <v>5670</v>
      </c>
      <c r="C2554" s="79" t="s">
        <v>8734</v>
      </c>
    </row>
    <row r="2555" spans="1:3" x14ac:dyDescent="0.25">
      <c r="A2555" s="62" t="s">
        <v>5671</v>
      </c>
      <c r="B2555" s="63" t="s">
        <v>5672</v>
      </c>
      <c r="C2555" s="79" t="s">
        <v>8734</v>
      </c>
    </row>
    <row r="2556" spans="1:3" x14ac:dyDescent="0.25">
      <c r="A2556" s="62" t="s">
        <v>5673</v>
      </c>
      <c r="B2556" s="63" t="s">
        <v>5674</v>
      </c>
      <c r="C2556" s="79" t="s">
        <v>8734</v>
      </c>
    </row>
    <row r="2557" spans="1:3" x14ac:dyDescent="0.25">
      <c r="A2557" s="62" t="s">
        <v>5675</v>
      </c>
      <c r="B2557" s="63" t="s">
        <v>5676</v>
      </c>
      <c r="C2557" s="79" t="s">
        <v>8921</v>
      </c>
    </row>
    <row r="2558" spans="1:3" x14ac:dyDescent="0.25">
      <c r="A2558" s="62" t="s">
        <v>5677</v>
      </c>
      <c r="B2558" s="63" t="s">
        <v>5678</v>
      </c>
      <c r="C2558" s="79" t="s">
        <v>8921</v>
      </c>
    </row>
    <row r="2559" spans="1:3" x14ac:dyDescent="0.25">
      <c r="A2559" s="62" t="s">
        <v>5679</v>
      </c>
      <c r="B2559" s="63" t="s">
        <v>5680</v>
      </c>
      <c r="C2559" s="79" t="s">
        <v>8921</v>
      </c>
    </row>
    <row r="2560" spans="1:3" x14ac:dyDescent="0.25">
      <c r="A2560" s="62" t="s">
        <v>5681</v>
      </c>
      <c r="B2560" s="63" t="s">
        <v>5682</v>
      </c>
      <c r="C2560" s="79" t="s">
        <v>8921</v>
      </c>
    </row>
    <row r="2561" spans="1:3" x14ac:dyDescent="0.25">
      <c r="A2561" s="62" t="s">
        <v>5683</v>
      </c>
      <c r="B2561" s="63" t="s">
        <v>5684</v>
      </c>
      <c r="C2561" s="79" t="s">
        <v>8921</v>
      </c>
    </row>
    <row r="2562" spans="1:3" x14ac:dyDescent="0.25">
      <c r="A2562" s="62" t="s">
        <v>5685</v>
      </c>
      <c r="B2562" s="63" t="s">
        <v>5686</v>
      </c>
      <c r="C2562" s="79" t="s">
        <v>8921</v>
      </c>
    </row>
    <row r="2563" spans="1:3" x14ac:dyDescent="0.25">
      <c r="A2563" s="62" t="s">
        <v>5687</v>
      </c>
      <c r="B2563" s="63" t="s">
        <v>5688</v>
      </c>
      <c r="C2563" s="79" t="s">
        <v>8921</v>
      </c>
    </row>
    <row r="2564" spans="1:3" x14ac:dyDescent="0.25">
      <c r="A2564" s="62" t="s">
        <v>5689</v>
      </c>
      <c r="B2564" s="63" t="s">
        <v>5690</v>
      </c>
      <c r="C2564" s="79" t="s">
        <v>8921</v>
      </c>
    </row>
    <row r="2565" spans="1:3" x14ac:dyDescent="0.25">
      <c r="A2565" s="62" t="s">
        <v>5691</v>
      </c>
      <c r="B2565" s="63" t="s">
        <v>5692</v>
      </c>
      <c r="C2565" s="79" t="s">
        <v>8921</v>
      </c>
    </row>
    <row r="2566" spans="1:3" x14ac:dyDescent="0.25">
      <c r="A2566" s="62" t="s">
        <v>5693</v>
      </c>
      <c r="B2566" s="63" t="s">
        <v>5694</v>
      </c>
      <c r="C2566" s="79" t="s">
        <v>8921</v>
      </c>
    </row>
    <row r="2567" spans="1:3" x14ac:dyDescent="0.25">
      <c r="A2567" s="62" t="s">
        <v>5695</v>
      </c>
      <c r="B2567" s="63" t="s">
        <v>5696</v>
      </c>
      <c r="C2567" s="79" t="s">
        <v>8795</v>
      </c>
    </row>
    <row r="2568" spans="1:3" x14ac:dyDescent="0.25">
      <c r="A2568" s="62" t="s">
        <v>5697</v>
      </c>
      <c r="B2568" s="63" t="s">
        <v>5698</v>
      </c>
      <c r="C2568" s="79" t="s">
        <v>8795</v>
      </c>
    </row>
    <row r="2569" spans="1:3" x14ac:dyDescent="0.25">
      <c r="A2569" s="62" t="s">
        <v>5699</v>
      </c>
      <c r="B2569" s="63" t="s">
        <v>5700</v>
      </c>
      <c r="C2569" s="79" t="s">
        <v>8795</v>
      </c>
    </row>
    <row r="2570" spans="1:3" x14ac:dyDescent="0.25">
      <c r="A2570" s="62" t="s">
        <v>5701</v>
      </c>
      <c r="B2570" s="63" t="s">
        <v>5702</v>
      </c>
      <c r="C2570" s="79" t="s">
        <v>8795</v>
      </c>
    </row>
    <row r="2571" spans="1:3" x14ac:dyDescent="0.25">
      <c r="A2571" s="62" t="s">
        <v>5703</v>
      </c>
      <c r="B2571" s="63" t="s">
        <v>5704</v>
      </c>
      <c r="C2571" s="79" t="s">
        <v>8795</v>
      </c>
    </row>
    <row r="2572" spans="1:3" x14ac:dyDescent="0.25">
      <c r="A2572" s="62" t="s">
        <v>5705</v>
      </c>
      <c r="B2572" s="63" t="s">
        <v>5706</v>
      </c>
      <c r="C2572" s="79" t="s">
        <v>8795</v>
      </c>
    </row>
    <row r="2573" spans="1:3" x14ac:dyDescent="0.25">
      <c r="A2573" s="62" t="s">
        <v>5707</v>
      </c>
      <c r="B2573" s="63" t="s">
        <v>5708</v>
      </c>
      <c r="C2573" s="79" t="s">
        <v>8795</v>
      </c>
    </row>
    <row r="2574" spans="1:3" x14ac:dyDescent="0.25">
      <c r="A2574" s="62" t="s">
        <v>5709</v>
      </c>
      <c r="B2574" s="63" t="s">
        <v>5710</v>
      </c>
      <c r="C2574" s="79" t="s">
        <v>8795</v>
      </c>
    </row>
    <row r="2575" spans="1:3" x14ac:dyDescent="0.25">
      <c r="A2575" s="62" t="s">
        <v>5711</v>
      </c>
      <c r="B2575" s="63" t="s">
        <v>5712</v>
      </c>
      <c r="C2575" s="79" t="s">
        <v>8795</v>
      </c>
    </row>
    <row r="2576" spans="1:3" x14ac:dyDescent="0.25">
      <c r="A2576" s="62" t="s">
        <v>5713</v>
      </c>
      <c r="B2576" s="63" t="s">
        <v>5714</v>
      </c>
      <c r="C2576" s="79" t="s">
        <v>8795</v>
      </c>
    </row>
    <row r="2577" spans="1:3" x14ac:dyDescent="0.25">
      <c r="A2577" s="62" t="s">
        <v>5715</v>
      </c>
      <c r="B2577" s="63" t="s">
        <v>5716</v>
      </c>
      <c r="C2577" s="79" t="s">
        <v>8857</v>
      </c>
    </row>
    <row r="2578" spans="1:3" x14ac:dyDescent="0.25">
      <c r="A2578" s="62" t="s">
        <v>5717</v>
      </c>
      <c r="B2578" s="63" t="s">
        <v>5718</v>
      </c>
      <c r="C2578" s="79" t="s">
        <v>8857</v>
      </c>
    </row>
    <row r="2579" spans="1:3" x14ac:dyDescent="0.25">
      <c r="A2579" s="62" t="s">
        <v>5719</v>
      </c>
      <c r="B2579" s="63" t="s">
        <v>5720</v>
      </c>
      <c r="C2579" s="79" t="s">
        <v>8857</v>
      </c>
    </row>
    <row r="2580" spans="1:3" x14ac:dyDescent="0.25">
      <c r="A2580" s="62" t="s">
        <v>5721</v>
      </c>
      <c r="B2580" s="63" t="s">
        <v>5722</v>
      </c>
      <c r="C2580" s="79" t="s">
        <v>8857</v>
      </c>
    </row>
    <row r="2581" spans="1:3" x14ac:dyDescent="0.25">
      <c r="A2581" s="62" t="s">
        <v>5723</v>
      </c>
      <c r="B2581" s="63" t="s">
        <v>5724</v>
      </c>
      <c r="C2581" s="79" t="s">
        <v>8857</v>
      </c>
    </row>
    <row r="2582" spans="1:3" x14ac:dyDescent="0.25">
      <c r="A2582" s="62" t="s">
        <v>5725</v>
      </c>
      <c r="B2582" s="63" t="s">
        <v>5726</v>
      </c>
      <c r="C2582" s="79" t="s">
        <v>8872</v>
      </c>
    </row>
    <row r="2583" spans="1:3" x14ac:dyDescent="0.25">
      <c r="A2583" s="62" t="s">
        <v>5727</v>
      </c>
      <c r="B2583" s="63" t="s">
        <v>5728</v>
      </c>
      <c r="C2583" s="79" t="s">
        <v>8872</v>
      </c>
    </row>
    <row r="2584" spans="1:3" x14ac:dyDescent="0.25">
      <c r="A2584" s="62" t="s">
        <v>5729</v>
      </c>
      <c r="B2584" s="63" t="s">
        <v>5730</v>
      </c>
      <c r="C2584" s="79" t="s">
        <v>8872</v>
      </c>
    </row>
    <row r="2585" spans="1:3" x14ac:dyDescent="0.25">
      <c r="A2585" s="62" t="s">
        <v>5731</v>
      </c>
      <c r="B2585" s="63" t="s">
        <v>5732</v>
      </c>
      <c r="C2585" s="79" t="s">
        <v>8872</v>
      </c>
    </row>
    <row r="2586" spans="1:3" x14ac:dyDescent="0.25">
      <c r="A2586" s="62" t="s">
        <v>5733</v>
      </c>
      <c r="B2586" s="63" t="s">
        <v>5734</v>
      </c>
      <c r="C2586" s="79" t="s">
        <v>8872</v>
      </c>
    </row>
    <row r="2587" spans="1:3" x14ac:dyDescent="0.25">
      <c r="A2587" s="62" t="s">
        <v>5735</v>
      </c>
      <c r="B2587" s="63" t="s">
        <v>5736</v>
      </c>
      <c r="C2587" s="79" t="s">
        <v>8872</v>
      </c>
    </row>
    <row r="2588" spans="1:3" x14ac:dyDescent="0.25">
      <c r="A2588" s="62" t="s">
        <v>5737</v>
      </c>
      <c r="B2588" s="63" t="s">
        <v>5738</v>
      </c>
      <c r="C2588" s="79" t="s">
        <v>8872</v>
      </c>
    </row>
    <row r="2589" spans="1:3" x14ac:dyDescent="0.25">
      <c r="A2589" s="62" t="s">
        <v>5739</v>
      </c>
      <c r="B2589" s="63" t="s">
        <v>5740</v>
      </c>
      <c r="C2589" s="79" t="s">
        <v>8872</v>
      </c>
    </row>
    <row r="2590" spans="1:3" x14ac:dyDescent="0.25">
      <c r="A2590" s="62" t="s">
        <v>5741</v>
      </c>
      <c r="B2590" s="63" t="s">
        <v>5742</v>
      </c>
      <c r="C2590" s="79" t="s">
        <v>8872</v>
      </c>
    </row>
    <row r="2591" spans="1:3" x14ac:dyDescent="0.25">
      <c r="A2591" s="62" t="s">
        <v>5743</v>
      </c>
      <c r="B2591" s="63" t="s">
        <v>5744</v>
      </c>
      <c r="C2591" s="79" t="s">
        <v>8872</v>
      </c>
    </row>
    <row r="2592" spans="1:3" x14ac:dyDescent="0.25">
      <c r="A2592" s="62" t="s">
        <v>5745</v>
      </c>
      <c r="B2592" s="63" t="s">
        <v>5746</v>
      </c>
      <c r="C2592" s="79" t="s">
        <v>8922</v>
      </c>
    </row>
    <row r="2593" spans="1:3" x14ac:dyDescent="0.25">
      <c r="A2593" s="62" t="s">
        <v>5747</v>
      </c>
      <c r="B2593" s="63" t="s">
        <v>5748</v>
      </c>
      <c r="C2593" s="79" t="s">
        <v>8922</v>
      </c>
    </row>
    <row r="2594" spans="1:3" x14ac:dyDescent="0.25">
      <c r="A2594" s="62" t="s">
        <v>5749</v>
      </c>
      <c r="B2594" s="63" t="s">
        <v>5750</v>
      </c>
      <c r="C2594" s="79" t="s">
        <v>8922</v>
      </c>
    </row>
    <row r="2595" spans="1:3" x14ac:dyDescent="0.25">
      <c r="A2595" s="62" t="s">
        <v>5751</v>
      </c>
      <c r="B2595" s="63" t="s">
        <v>5752</v>
      </c>
      <c r="C2595" s="79" t="s">
        <v>8922</v>
      </c>
    </row>
    <row r="2596" spans="1:3" x14ac:dyDescent="0.25">
      <c r="A2596" s="62" t="s">
        <v>5753</v>
      </c>
      <c r="B2596" s="63" t="s">
        <v>5754</v>
      </c>
      <c r="C2596" s="79" t="s">
        <v>8922</v>
      </c>
    </row>
    <row r="2597" spans="1:3" x14ac:dyDescent="0.25">
      <c r="A2597" s="62" t="s">
        <v>5755</v>
      </c>
      <c r="B2597" s="63" t="s">
        <v>5756</v>
      </c>
      <c r="C2597" s="79" t="s">
        <v>8922</v>
      </c>
    </row>
    <row r="2598" spans="1:3" x14ac:dyDescent="0.25">
      <c r="A2598" s="62" t="s">
        <v>5757</v>
      </c>
      <c r="B2598" s="63" t="s">
        <v>5758</v>
      </c>
      <c r="C2598" s="79" t="s">
        <v>8922</v>
      </c>
    </row>
    <row r="2599" spans="1:3" x14ac:dyDescent="0.25">
      <c r="A2599" s="62" t="s">
        <v>5759</v>
      </c>
      <c r="B2599" s="63" t="s">
        <v>5760</v>
      </c>
      <c r="C2599" s="79" t="s">
        <v>8922</v>
      </c>
    </row>
    <row r="2600" spans="1:3" x14ac:dyDescent="0.25">
      <c r="A2600" s="62" t="s">
        <v>5761</v>
      </c>
      <c r="B2600" s="63" t="s">
        <v>5762</v>
      </c>
      <c r="C2600" s="79" t="s">
        <v>8922</v>
      </c>
    </row>
    <row r="2601" spans="1:3" x14ac:dyDescent="0.25">
      <c r="A2601" s="62" t="s">
        <v>5763</v>
      </c>
      <c r="B2601" s="63" t="s">
        <v>5764</v>
      </c>
      <c r="C2601" s="79" t="s">
        <v>8922</v>
      </c>
    </row>
    <row r="2602" spans="1:3" x14ac:dyDescent="0.25">
      <c r="A2602" s="62" t="s">
        <v>5765</v>
      </c>
      <c r="B2602" s="63" t="s">
        <v>5766</v>
      </c>
      <c r="C2602" s="79" t="s">
        <v>8613</v>
      </c>
    </row>
    <row r="2603" spans="1:3" x14ac:dyDescent="0.25">
      <c r="A2603" s="62" t="s">
        <v>5767</v>
      </c>
      <c r="B2603" s="63" t="s">
        <v>5768</v>
      </c>
      <c r="C2603" s="79" t="s">
        <v>8613</v>
      </c>
    </row>
    <row r="2604" spans="1:3" x14ac:dyDescent="0.25">
      <c r="A2604" s="62" t="s">
        <v>5769</v>
      </c>
      <c r="B2604" s="63" t="s">
        <v>5770</v>
      </c>
      <c r="C2604" s="79" t="s">
        <v>8613</v>
      </c>
    </row>
    <row r="2605" spans="1:3" x14ac:dyDescent="0.25">
      <c r="A2605" s="62" t="s">
        <v>5771</v>
      </c>
      <c r="B2605" s="63" t="s">
        <v>5772</v>
      </c>
      <c r="C2605" s="79" t="s">
        <v>8613</v>
      </c>
    </row>
    <row r="2606" spans="1:3" x14ac:dyDescent="0.25">
      <c r="A2606" s="62" t="s">
        <v>5773</v>
      </c>
      <c r="B2606" s="63" t="s">
        <v>5774</v>
      </c>
      <c r="C2606" s="79" t="s">
        <v>8613</v>
      </c>
    </row>
    <row r="2607" spans="1:3" x14ac:dyDescent="0.25">
      <c r="A2607" s="62" t="s">
        <v>5775</v>
      </c>
      <c r="B2607" s="63" t="s">
        <v>5776</v>
      </c>
      <c r="C2607" s="79" t="s">
        <v>8923</v>
      </c>
    </row>
    <row r="2608" spans="1:3" x14ac:dyDescent="0.25">
      <c r="A2608" s="62" t="s">
        <v>5777</v>
      </c>
      <c r="B2608" s="63" t="s">
        <v>5778</v>
      </c>
      <c r="C2608" s="79" t="s">
        <v>8923</v>
      </c>
    </row>
    <row r="2609" spans="1:3" x14ac:dyDescent="0.25">
      <c r="A2609" s="62" t="s">
        <v>5779</v>
      </c>
      <c r="B2609" s="63" t="s">
        <v>5780</v>
      </c>
      <c r="C2609" s="79" t="s">
        <v>8923</v>
      </c>
    </row>
    <row r="2610" spans="1:3" x14ac:dyDescent="0.25">
      <c r="A2610" s="62" t="s">
        <v>5781</v>
      </c>
      <c r="B2610" s="63" t="s">
        <v>5782</v>
      </c>
      <c r="C2610" s="79" t="s">
        <v>8923</v>
      </c>
    </row>
    <row r="2611" spans="1:3" x14ac:dyDescent="0.25">
      <c r="A2611" s="62" t="s">
        <v>5783</v>
      </c>
      <c r="B2611" s="63" t="s">
        <v>5784</v>
      </c>
      <c r="C2611" s="79" t="s">
        <v>8923</v>
      </c>
    </row>
    <row r="2612" spans="1:3" x14ac:dyDescent="0.25">
      <c r="A2612" s="62" t="s">
        <v>5785</v>
      </c>
      <c r="B2612" s="63" t="s">
        <v>5786</v>
      </c>
      <c r="C2612" s="79" t="s">
        <v>8923</v>
      </c>
    </row>
    <row r="2613" spans="1:3" x14ac:dyDescent="0.25">
      <c r="A2613" s="62" t="s">
        <v>5787</v>
      </c>
      <c r="B2613" s="63" t="s">
        <v>5788</v>
      </c>
      <c r="C2613" s="79" t="s">
        <v>8923</v>
      </c>
    </row>
    <row r="2614" spans="1:3" x14ac:dyDescent="0.25">
      <c r="A2614" s="62" t="s">
        <v>5789</v>
      </c>
      <c r="B2614" s="63" t="s">
        <v>5790</v>
      </c>
      <c r="C2614" s="79" t="s">
        <v>8923</v>
      </c>
    </row>
    <row r="2615" spans="1:3" x14ac:dyDescent="0.25">
      <c r="A2615" s="62" t="s">
        <v>5791</v>
      </c>
      <c r="B2615" s="63" t="s">
        <v>5792</v>
      </c>
      <c r="C2615" s="79" t="s">
        <v>8923</v>
      </c>
    </row>
    <row r="2616" spans="1:3" x14ac:dyDescent="0.25">
      <c r="A2616" s="62" t="s">
        <v>5793</v>
      </c>
      <c r="B2616" s="63" t="s">
        <v>5794</v>
      </c>
      <c r="C2616" s="79" t="s">
        <v>8923</v>
      </c>
    </row>
    <row r="2617" spans="1:3" x14ac:dyDescent="0.25">
      <c r="A2617" s="62" t="s">
        <v>5795</v>
      </c>
      <c r="B2617" s="63" t="s">
        <v>5796</v>
      </c>
      <c r="C2617" s="79" t="s">
        <v>8924</v>
      </c>
    </row>
    <row r="2618" spans="1:3" x14ac:dyDescent="0.25">
      <c r="A2618" s="62" t="s">
        <v>5797</v>
      </c>
      <c r="B2618" s="63" t="s">
        <v>5798</v>
      </c>
      <c r="C2618" s="79" t="s">
        <v>8496</v>
      </c>
    </row>
    <row r="2619" spans="1:3" x14ac:dyDescent="0.25">
      <c r="A2619" s="62" t="s">
        <v>5799</v>
      </c>
      <c r="B2619" s="63" t="s">
        <v>5800</v>
      </c>
      <c r="C2619" s="79" t="s">
        <v>8496</v>
      </c>
    </row>
    <row r="2620" spans="1:3" x14ac:dyDescent="0.25">
      <c r="A2620" s="62" t="s">
        <v>5801</v>
      </c>
      <c r="B2620" s="63" t="s">
        <v>5802</v>
      </c>
      <c r="C2620" s="79" t="s">
        <v>8496</v>
      </c>
    </row>
    <row r="2621" spans="1:3" x14ac:dyDescent="0.25">
      <c r="A2621" s="62" t="s">
        <v>5803</v>
      </c>
      <c r="B2621" s="63" t="s">
        <v>5804</v>
      </c>
      <c r="C2621" s="79" t="s">
        <v>8496</v>
      </c>
    </row>
    <row r="2622" spans="1:3" x14ac:dyDescent="0.25">
      <c r="A2622" s="62" t="s">
        <v>5805</v>
      </c>
      <c r="B2622" s="63" t="s">
        <v>5806</v>
      </c>
      <c r="C2622" s="79" t="s">
        <v>8496</v>
      </c>
    </row>
    <row r="2623" spans="1:3" x14ac:dyDescent="0.25">
      <c r="A2623" s="62" t="s">
        <v>5807</v>
      </c>
      <c r="B2623" s="63" t="s">
        <v>5808</v>
      </c>
      <c r="C2623" s="79" t="s">
        <v>8496</v>
      </c>
    </row>
    <row r="2624" spans="1:3" x14ac:dyDescent="0.25">
      <c r="A2624" s="62" t="s">
        <v>5809</v>
      </c>
      <c r="B2624" s="63" t="s">
        <v>5810</v>
      </c>
      <c r="C2624" s="79" t="s">
        <v>8496</v>
      </c>
    </row>
    <row r="2625" spans="1:3" x14ac:dyDescent="0.25">
      <c r="A2625" s="62" t="s">
        <v>5811</v>
      </c>
      <c r="B2625" s="63" t="s">
        <v>5812</v>
      </c>
      <c r="C2625" s="79" t="s">
        <v>8496</v>
      </c>
    </row>
    <row r="2626" spans="1:3" x14ac:dyDescent="0.25">
      <c r="A2626" s="62" t="s">
        <v>5813</v>
      </c>
      <c r="B2626" s="63" t="s">
        <v>5814</v>
      </c>
      <c r="C2626" s="79" t="s">
        <v>8496</v>
      </c>
    </row>
    <row r="2627" spans="1:3" x14ac:dyDescent="0.25">
      <c r="A2627" s="62" t="s">
        <v>5815</v>
      </c>
      <c r="B2627" s="63" t="s">
        <v>5816</v>
      </c>
      <c r="C2627" s="79" t="s">
        <v>8496</v>
      </c>
    </row>
    <row r="2628" spans="1:3" x14ac:dyDescent="0.25">
      <c r="A2628" s="62" t="s">
        <v>5817</v>
      </c>
      <c r="B2628" s="63" t="s">
        <v>5818</v>
      </c>
      <c r="C2628" s="79" t="s">
        <v>8481</v>
      </c>
    </row>
    <row r="2629" spans="1:3" x14ac:dyDescent="0.25">
      <c r="A2629" s="62" t="s">
        <v>5819</v>
      </c>
      <c r="B2629" s="63" t="s">
        <v>5820</v>
      </c>
      <c r="C2629" s="79" t="s">
        <v>8481</v>
      </c>
    </row>
    <row r="2630" spans="1:3" x14ac:dyDescent="0.25">
      <c r="A2630" s="62" t="s">
        <v>5821</v>
      </c>
      <c r="B2630" s="63" t="s">
        <v>5822</v>
      </c>
      <c r="C2630" s="79" t="s">
        <v>8481</v>
      </c>
    </row>
    <row r="2631" spans="1:3" x14ac:dyDescent="0.25">
      <c r="A2631" s="62" t="s">
        <v>5823</v>
      </c>
      <c r="B2631" s="63" t="s">
        <v>5824</v>
      </c>
      <c r="C2631" s="79" t="s">
        <v>8481</v>
      </c>
    </row>
    <row r="2632" spans="1:3" x14ac:dyDescent="0.25">
      <c r="A2632" s="62" t="s">
        <v>5825</v>
      </c>
      <c r="B2632" s="63" t="s">
        <v>5826</v>
      </c>
      <c r="C2632" s="79" t="s">
        <v>8481</v>
      </c>
    </row>
    <row r="2633" spans="1:3" x14ac:dyDescent="0.25">
      <c r="A2633" s="62" t="s">
        <v>5827</v>
      </c>
      <c r="B2633" s="63" t="s">
        <v>5828</v>
      </c>
      <c r="C2633" s="79" t="s">
        <v>8925</v>
      </c>
    </row>
    <row r="2634" spans="1:3" x14ac:dyDescent="0.25">
      <c r="A2634" s="62" t="s">
        <v>5829</v>
      </c>
      <c r="B2634" s="63" t="s">
        <v>5830</v>
      </c>
      <c r="C2634" s="79" t="s">
        <v>8925</v>
      </c>
    </row>
    <row r="2635" spans="1:3" x14ac:dyDescent="0.25">
      <c r="A2635" s="62" t="s">
        <v>5831</v>
      </c>
      <c r="B2635" s="63" t="s">
        <v>5832</v>
      </c>
      <c r="C2635" s="79" t="s">
        <v>8925</v>
      </c>
    </row>
    <row r="2636" spans="1:3" x14ac:dyDescent="0.25">
      <c r="A2636" s="62" t="s">
        <v>5833</v>
      </c>
      <c r="B2636" s="63" t="s">
        <v>5834</v>
      </c>
      <c r="C2636" s="79" t="s">
        <v>8925</v>
      </c>
    </row>
    <row r="2637" spans="1:3" x14ac:dyDescent="0.25">
      <c r="A2637" s="62" t="s">
        <v>5835</v>
      </c>
      <c r="B2637" s="63" t="s">
        <v>5836</v>
      </c>
      <c r="C2637" s="79" t="s">
        <v>8925</v>
      </c>
    </row>
    <row r="2638" spans="1:3" x14ac:dyDescent="0.25">
      <c r="A2638" s="62" t="s">
        <v>5837</v>
      </c>
      <c r="B2638" s="63" t="s">
        <v>5838</v>
      </c>
      <c r="C2638" s="79" t="s">
        <v>8925</v>
      </c>
    </row>
    <row r="2639" spans="1:3" x14ac:dyDescent="0.25">
      <c r="A2639" s="62" t="s">
        <v>5839</v>
      </c>
      <c r="B2639" s="63" t="s">
        <v>5840</v>
      </c>
      <c r="C2639" s="79" t="s">
        <v>8925</v>
      </c>
    </row>
    <row r="2640" spans="1:3" x14ac:dyDescent="0.25">
      <c r="A2640" s="62" t="s">
        <v>5841</v>
      </c>
      <c r="B2640" s="63" t="s">
        <v>5842</v>
      </c>
      <c r="C2640" s="79" t="s">
        <v>8925</v>
      </c>
    </row>
    <row r="2641" spans="1:3" x14ac:dyDescent="0.25">
      <c r="A2641" s="62" t="s">
        <v>5843</v>
      </c>
      <c r="B2641" s="63" t="s">
        <v>5844</v>
      </c>
      <c r="C2641" s="79" t="s">
        <v>8925</v>
      </c>
    </row>
    <row r="2642" spans="1:3" x14ac:dyDescent="0.25">
      <c r="A2642" s="62" t="s">
        <v>5845</v>
      </c>
      <c r="B2642" s="63" t="s">
        <v>5846</v>
      </c>
      <c r="C2642" s="79" t="s">
        <v>8925</v>
      </c>
    </row>
    <row r="2643" spans="1:3" x14ac:dyDescent="0.25">
      <c r="A2643" s="62" t="s">
        <v>5847</v>
      </c>
      <c r="B2643" s="63" t="s">
        <v>5848</v>
      </c>
      <c r="C2643" s="79" t="s">
        <v>8926</v>
      </c>
    </row>
    <row r="2644" spans="1:3" x14ac:dyDescent="0.25">
      <c r="A2644" s="62" t="s">
        <v>5849</v>
      </c>
      <c r="B2644" s="63" t="s">
        <v>5850</v>
      </c>
      <c r="C2644" s="79" t="s">
        <v>8927</v>
      </c>
    </row>
    <row r="2645" spans="1:3" x14ac:dyDescent="0.25">
      <c r="A2645" s="62" t="s">
        <v>5851</v>
      </c>
      <c r="B2645" s="63" t="s">
        <v>5852</v>
      </c>
      <c r="C2645" s="79" t="s">
        <v>8927</v>
      </c>
    </row>
    <row r="2646" spans="1:3" x14ac:dyDescent="0.25">
      <c r="A2646" s="62" t="s">
        <v>5853</v>
      </c>
      <c r="B2646" s="63" t="s">
        <v>5854</v>
      </c>
      <c r="C2646" s="79" t="s">
        <v>8927</v>
      </c>
    </row>
    <row r="2647" spans="1:3" x14ac:dyDescent="0.25">
      <c r="A2647" s="62" t="s">
        <v>5855</v>
      </c>
      <c r="B2647" s="63" t="s">
        <v>5856</v>
      </c>
      <c r="C2647" s="79" t="s">
        <v>8927</v>
      </c>
    </row>
    <row r="2648" spans="1:3" x14ac:dyDescent="0.25">
      <c r="A2648" s="62" t="s">
        <v>5857</v>
      </c>
      <c r="B2648" s="63" t="s">
        <v>5858</v>
      </c>
      <c r="C2648" s="79" t="s">
        <v>8927</v>
      </c>
    </row>
    <row r="2649" spans="1:3" ht="31.5" x14ac:dyDescent="0.25">
      <c r="A2649" s="62" t="s">
        <v>5859</v>
      </c>
      <c r="B2649" s="63" t="s">
        <v>5860</v>
      </c>
      <c r="C2649" s="79" t="s">
        <v>8438</v>
      </c>
    </row>
    <row r="2650" spans="1:3" ht="31.5" x14ac:dyDescent="0.25">
      <c r="A2650" s="62" t="s">
        <v>5861</v>
      </c>
      <c r="B2650" s="63" t="s">
        <v>5862</v>
      </c>
      <c r="C2650" s="79" t="s">
        <v>8928</v>
      </c>
    </row>
    <row r="2651" spans="1:3" ht="31.5" x14ac:dyDescent="0.25">
      <c r="A2651" s="62" t="s">
        <v>5863</v>
      </c>
      <c r="B2651" s="63" t="s">
        <v>5864</v>
      </c>
      <c r="C2651" s="79" t="s">
        <v>8827</v>
      </c>
    </row>
    <row r="2652" spans="1:3" ht="31.5" x14ac:dyDescent="0.25">
      <c r="A2652" s="62" t="s">
        <v>5865</v>
      </c>
      <c r="B2652" s="63" t="s">
        <v>5866</v>
      </c>
      <c r="C2652" s="79" t="s">
        <v>8928</v>
      </c>
    </row>
    <row r="2653" spans="1:3" ht="31.5" x14ac:dyDescent="0.25">
      <c r="A2653" s="62" t="s">
        <v>5867</v>
      </c>
      <c r="B2653" s="63" t="s">
        <v>5868</v>
      </c>
      <c r="C2653" s="79" t="s">
        <v>8928</v>
      </c>
    </row>
    <row r="2654" spans="1:3" ht="31.5" x14ac:dyDescent="0.25">
      <c r="A2654" s="62" t="s">
        <v>5869</v>
      </c>
      <c r="B2654" s="63" t="s">
        <v>5870</v>
      </c>
      <c r="C2654" s="79" t="s">
        <v>8928</v>
      </c>
    </row>
    <row r="2655" spans="1:3" ht="31.5" x14ac:dyDescent="0.25">
      <c r="A2655" s="62" t="s">
        <v>5871</v>
      </c>
      <c r="B2655" s="63" t="s">
        <v>5872</v>
      </c>
      <c r="C2655" s="79" t="s">
        <v>8928</v>
      </c>
    </row>
    <row r="2656" spans="1:3" ht="31.5" x14ac:dyDescent="0.25">
      <c r="A2656" s="62" t="s">
        <v>5873</v>
      </c>
      <c r="B2656" s="63" t="s">
        <v>5874</v>
      </c>
      <c r="C2656" s="79" t="s">
        <v>8928</v>
      </c>
    </row>
    <row r="2657" spans="1:3" ht="31.5" x14ac:dyDescent="0.25">
      <c r="A2657" s="62" t="s">
        <v>5875</v>
      </c>
      <c r="B2657" s="63" t="s">
        <v>5876</v>
      </c>
      <c r="C2657" s="79" t="s">
        <v>8928</v>
      </c>
    </row>
    <row r="2658" spans="1:3" ht="31.5" x14ac:dyDescent="0.25">
      <c r="A2658" s="62" t="s">
        <v>5877</v>
      </c>
      <c r="B2658" s="63" t="s">
        <v>5878</v>
      </c>
      <c r="C2658" s="79" t="s">
        <v>8928</v>
      </c>
    </row>
    <row r="2659" spans="1:3" ht="31.5" x14ac:dyDescent="0.25">
      <c r="A2659" s="62" t="s">
        <v>5879</v>
      </c>
      <c r="B2659" s="63" t="s">
        <v>5880</v>
      </c>
      <c r="C2659" s="79" t="s">
        <v>8928</v>
      </c>
    </row>
    <row r="2660" spans="1:3" ht="31.5" x14ac:dyDescent="0.25">
      <c r="A2660" s="62" t="s">
        <v>5881</v>
      </c>
      <c r="B2660" s="63" t="s">
        <v>5882</v>
      </c>
      <c r="C2660" s="79" t="s">
        <v>8928</v>
      </c>
    </row>
    <row r="2661" spans="1:3" ht="31.5" x14ac:dyDescent="0.25">
      <c r="A2661" s="62" t="s">
        <v>5883</v>
      </c>
      <c r="B2661" s="63" t="s">
        <v>5884</v>
      </c>
      <c r="C2661" s="79" t="s">
        <v>8928</v>
      </c>
    </row>
    <row r="2662" spans="1:3" ht="31.5" x14ac:dyDescent="0.25">
      <c r="A2662" s="62" t="s">
        <v>5885</v>
      </c>
      <c r="B2662" s="63" t="s">
        <v>5886</v>
      </c>
      <c r="C2662" s="79" t="s">
        <v>8827</v>
      </c>
    </row>
    <row r="2663" spans="1:3" ht="31.5" x14ac:dyDescent="0.25">
      <c r="A2663" s="62" t="s">
        <v>5887</v>
      </c>
      <c r="B2663" s="63" t="s">
        <v>5888</v>
      </c>
      <c r="C2663" s="79" t="s">
        <v>8827</v>
      </c>
    </row>
    <row r="2664" spans="1:3" ht="31.5" x14ac:dyDescent="0.25">
      <c r="A2664" s="62" t="s">
        <v>5889</v>
      </c>
      <c r="B2664" s="63" t="s">
        <v>5890</v>
      </c>
      <c r="C2664" s="79" t="s">
        <v>8827</v>
      </c>
    </row>
    <row r="2665" spans="1:3" ht="31.5" x14ac:dyDescent="0.25">
      <c r="A2665" s="62" t="s">
        <v>5891</v>
      </c>
      <c r="B2665" s="63" t="s">
        <v>5892</v>
      </c>
      <c r="C2665" s="79" t="s">
        <v>8827</v>
      </c>
    </row>
    <row r="2666" spans="1:3" ht="31.5" x14ac:dyDescent="0.25">
      <c r="A2666" s="62" t="s">
        <v>5893</v>
      </c>
      <c r="B2666" s="63" t="s">
        <v>5894</v>
      </c>
      <c r="C2666" s="79" t="s">
        <v>8827</v>
      </c>
    </row>
    <row r="2667" spans="1:3" ht="31.5" x14ac:dyDescent="0.25">
      <c r="A2667" s="62" t="s">
        <v>5895</v>
      </c>
      <c r="B2667" s="63" t="s">
        <v>5896</v>
      </c>
      <c r="C2667" s="79" t="s">
        <v>8438</v>
      </c>
    </row>
    <row r="2668" spans="1:3" ht="31.5" x14ac:dyDescent="0.25">
      <c r="A2668" s="62" t="s">
        <v>5897</v>
      </c>
      <c r="B2668" s="63" t="s">
        <v>5898</v>
      </c>
      <c r="C2668" s="79" t="s">
        <v>8928</v>
      </c>
    </row>
    <row r="2669" spans="1:3" ht="31.5" x14ac:dyDescent="0.25">
      <c r="A2669" s="62" t="s">
        <v>5899</v>
      </c>
      <c r="B2669" s="63" t="s">
        <v>5900</v>
      </c>
      <c r="C2669" s="79" t="s">
        <v>8928</v>
      </c>
    </row>
    <row r="2670" spans="1:3" ht="31.5" x14ac:dyDescent="0.25">
      <c r="A2670" s="62" t="s">
        <v>5901</v>
      </c>
      <c r="B2670" s="63" t="s">
        <v>5902</v>
      </c>
      <c r="C2670" s="79" t="s">
        <v>8928</v>
      </c>
    </row>
    <row r="2671" spans="1:3" ht="31.5" x14ac:dyDescent="0.25">
      <c r="A2671" s="62" t="s">
        <v>5903</v>
      </c>
      <c r="B2671" s="63" t="s">
        <v>5904</v>
      </c>
      <c r="C2671" s="79" t="s">
        <v>8928</v>
      </c>
    </row>
    <row r="2672" spans="1:3" ht="31.5" x14ac:dyDescent="0.25">
      <c r="A2672" s="62" t="s">
        <v>5905</v>
      </c>
      <c r="B2672" s="63" t="s">
        <v>5906</v>
      </c>
      <c r="C2672" s="79" t="s">
        <v>8928</v>
      </c>
    </row>
    <row r="2673" spans="1:3" ht="31.5" x14ac:dyDescent="0.25">
      <c r="A2673" s="62" t="s">
        <v>5907</v>
      </c>
      <c r="B2673" s="63" t="s">
        <v>5908</v>
      </c>
      <c r="C2673" s="79" t="s">
        <v>8929</v>
      </c>
    </row>
    <row r="2674" spans="1:3" ht="31.5" x14ac:dyDescent="0.25">
      <c r="A2674" s="62" t="s">
        <v>5909</v>
      </c>
      <c r="B2674" s="63" t="s">
        <v>5910</v>
      </c>
      <c r="C2674" s="79" t="s">
        <v>8929</v>
      </c>
    </row>
    <row r="2675" spans="1:3" ht="31.5" x14ac:dyDescent="0.25">
      <c r="A2675" s="62" t="s">
        <v>5911</v>
      </c>
      <c r="B2675" s="63" t="s">
        <v>5912</v>
      </c>
      <c r="C2675" s="79" t="s">
        <v>8929</v>
      </c>
    </row>
    <row r="2676" spans="1:3" ht="31.5" x14ac:dyDescent="0.25">
      <c r="A2676" s="62" t="s">
        <v>5913</v>
      </c>
      <c r="B2676" s="63" t="s">
        <v>5914</v>
      </c>
      <c r="C2676" s="79" t="s">
        <v>8929</v>
      </c>
    </row>
    <row r="2677" spans="1:3" ht="31.5" x14ac:dyDescent="0.25">
      <c r="A2677" s="62" t="s">
        <v>5915</v>
      </c>
      <c r="B2677" s="63" t="s">
        <v>5916</v>
      </c>
      <c r="C2677" s="79" t="s">
        <v>8929</v>
      </c>
    </row>
    <row r="2678" spans="1:3" ht="31.5" x14ac:dyDescent="0.25">
      <c r="A2678" s="62" t="s">
        <v>5917</v>
      </c>
      <c r="B2678" s="63" t="s">
        <v>5918</v>
      </c>
      <c r="C2678" s="79" t="s">
        <v>8929</v>
      </c>
    </row>
    <row r="2679" spans="1:3" ht="31.5" x14ac:dyDescent="0.25">
      <c r="A2679" s="62" t="s">
        <v>5919</v>
      </c>
      <c r="B2679" s="63" t="s">
        <v>5920</v>
      </c>
      <c r="C2679" s="79" t="s">
        <v>8929</v>
      </c>
    </row>
    <row r="2680" spans="1:3" ht="31.5" x14ac:dyDescent="0.25">
      <c r="A2680" s="62" t="s">
        <v>5921</v>
      </c>
      <c r="B2680" s="63" t="s">
        <v>5922</v>
      </c>
      <c r="C2680" s="79" t="s">
        <v>8929</v>
      </c>
    </row>
    <row r="2681" spans="1:3" ht="31.5" x14ac:dyDescent="0.25">
      <c r="A2681" s="62" t="s">
        <v>5923</v>
      </c>
      <c r="B2681" s="63" t="s">
        <v>5924</v>
      </c>
      <c r="C2681" s="79" t="s">
        <v>8929</v>
      </c>
    </row>
    <row r="2682" spans="1:3" ht="31.5" x14ac:dyDescent="0.25">
      <c r="A2682" s="62" t="s">
        <v>5925</v>
      </c>
      <c r="B2682" s="63" t="s">
        <v>5926</v>
      </c>
      <c r="C2682" s="79" t="s">
        <v>8929</v>
      </c>
    </row>
    <row r="2683" spans="1:3" x14ac:dyDescent="0.25">
      <c r="A2683" s="62" t="s">
        <v>5927</v>
      </c>
      <c r="B2683" s="63" t="s">
        <v>5928</v>
      </c>
      <c r="C2683" s="79" t="s">
        <v>8711</v>
      </c>
    </row>
    <row r="2684" spans="1:3" x14ac:dyDescent="0.25">
      <c r="A2684" s="62" t="s">
        <v>5929</v>
      </c>
      <c r="B2684" s="63" t="s">
        <v>5930</v>
      </c>
      <c r="C2684" s="79" t="s">
        <v>8711</v>
      </c>
    </row>
    <row r="2685" spans="1:3" x14ac:dyDescent="0.25">
      <c r="A2685" s="62" t="s">
        <v>5931</v>
      </c>
      <c r="B2685" s="63" t="s">
        <v>5932</v>
      </c>
      <c r="C2685" s="79" t="s">
        <v>8711</v>
      </c>
    </row>
    <row r="2686" spans="1:3" x14ac:dyDescent="0.25">
      <c r="A2686" s="62" t="s">
        <v>5933</v>
      </c>
      <c r="B2686" s="63" t="s">
        <v>5934</v>
      </c>
      <c r="C2686" s="79" t="s">
        <v>8711</v>
      </c>
    </row>
    <row r="2687" spans="1:3" x14ac:dyDescent="0.25">
      <c r="A2687" s="62" t="s">
        <v>5935</v>
      </c>
      <c r="B2687" s="63" t="s">
        <v>5936</v>
      </c>
      <c r="C2687" s="79" t="s">
        <v>8711</v>
      </c>
    </row>
    <row r="2688" spans="1:3" x14ac:dyDescent="0.25">
      <c r="A2688" s="62" t="s">
        <v>5937</v>
      </c>
      <c r="B2688" s="63" t="s">
        <v>5938</v>
      </c>
      <c r="C2688" s="79" t="s">
        <v>8711</v>
      </c>
    </row>
    <row r="2689" spans="1:3" x14ac:dyDescent="0.25">
      <c r="A2689" s="62" t="s">
        <v>5939</v>
      </c>
      <c r="B2689" s="63" t="s">
        <v>5940</v>
      </c>
      <c r="C2689" s="79" t="s">
        <v>8711</v>
      </c>
    </row>
    <row r="2690" spans="1:3" x14ac:dyDescent="0.25">
      <c r="A2690" s="62" t="s">
        <v>5941</v>
      </c>
      <c r="B2690" s="63" t="s">
        <v>5942</v>
      </c>
      <c r="C2690" s="79" t="s">
        <v>8711</v>
      </c>
    </row>
    <row r="2691" spans="1:3" x14ac:dyDescent="0.25">
      <c r="A2691" s="62" t="s">
        <v>5943</v>
      </c>
      <c r="B2691" s="63" t="s">
        <v>5944</v>
      </c>
      <c r="C2691" s="79" t="s">
        <v>8711</v>
      </c>
    </row>
    <row r="2692" spans="1:3" x14ac:dyDescent="0.25">
      <c r="A2692" s="62" t="s">
        <v>5945</v>
      </c>
      <c r="B2692" s="63" t="s">
        <v>5946</v>
      </c>
      <c r="C2692" s="79" t="s">
        <v>8711</v>
      </c>
    </row>
    <row r="2693" spans="1:3" x14ac:dyDescent="0.25">
      <c r="A2693" s="62" t="s">
        <v>5947</v>
      </c>
      <c r="B2693" s="63" t="s">
        <v>5948</v>
      </c>
      <c r="C2693" s="79" t="s">
        <v>8928</v>
      </c>
    </row>
    <row r="2694" spans="1:3" x14ac:dyDescent="0.25">
      <c r="A2694" s="62" t="s">
        <v>5949</v>
      </c>
      <c r="B2694" s="63" t="s">
        <v>5950</v>
      </c>
      <c r="C2694" s="79" t="s">
        <v>8928</v>
      </c>
    </row>
    <row r="2695" spans="1:3" x14ac:dyDescent="0.25">
      <c r="A2695" s="62" t="s">
        <v>5951</v>
      </c>
      <c r="B2695" s="63" t="s">
        <v>5952</v>
      </c>
      <c r="C2695" s="79" t="s">
        <v>8928</v>
      </c>
    </row>
    <row r="2696" spans="1:3" x14ac:dyDescent="0.25">
      <c r="A2696" s="62" t="s">
        <v>5953</v>
      </c>
      <c r="B2696" s="63" t="s">
        <v>5954</v>
      </c>
      <c r="C2696" s="79" t="s">
        <v>8928</v>
      </c>
    </row>
    <row r="2697" spans="1:3" x14ac:dyDescent="0.25">
      <c r="A2697" s="62" t="s">
        <v>5955</v>
      </c>
      <c r="B2697" s="63" t="s">
        <v>5956</v>
      </c>
      <c r="C2697" s="79" t="s">
        <v>8928</v>
      </c>
    </row>
    <row r="2698" spans="1:3" ht="31.5" x14ac:dyDescent="0.25">
      <c r="A2698" s="62" t="s">
        <v>5957</v>
      </c>
      <c r="B2698" s="63" t="s">
        <v>5958</v>
      </c>
      <c r="C2698" s="79" t="s">
        <v>8813</v>
      </c>
    </row>
    <row r="2699" spans="1:3" ht="31.5" x14ac:dyDescent="0.25">
      <c r="A2699" s="62" t="s">
        <v>5959</v>
      </c>
      <c r="B2699" s="63" t="s">
        <v>5960</v>
      </c>
      <c r="C2699" s="79" t="s">
        <v>8789</v>
      </c>
    </row>
    <row r="2700" spans="1:3" ht="31.5" x14ac:dyDescent="0.25">
      <c r="A2700" s="62" t="s">
        <v>5961</v>
      </c>
      <c r="B2700" s="63" t="s">
        <v>5962</v>
      </c>
      <c r="C2700" s="79" t="s">
        <v>8813</v>
      </c>
    </row>
    <row r="2701" spans="1:3" ht="31.5" x14ac:dyDescent="0.25">
      <c r="A2701" s="62" t="s">
        <v>5963</v>
      </c>
      <c r="B2701" s="63" t="s">
        <v>5964</v>
      </c>
      <c r="C2701" s="79" t="s">
        <v>8789</v>
      </c>
    </row>
    <row r="2702" spans="1:3" ht="31.5" x14ac:dyDescent="0.25">
      <c r="A2702" s="62" t="s">
        <v>5965</v>
      </c>
      <c r="B2702" s="63" t="s">
        <v>5966</v>
      </c>
      <c r="C2702" s="79" t="s">
        <v>8813</v>
      </c>
    </row>
    <row r="2703" spans="1:3" ht="31.5" x14ac:dyDescent="0.25">
      <c r="A2703" s="62" t="s">
        <v>5967</v>
      </c>
      <c r="B2703" s="63" t="s">
        <v>5968</v>
      </c>
      <c r="C2703" s="79" t="s">
        <v>8789</v>
      </c>
    </row>
    <row r="2704" spans="1:3" ht="31.5" x14ac:dyDescent="0.25">
      <c r="A2704" s="62" t="s">
        <v>5969</v>
      </c>
      <c r="B2704" s="63" t="s">
        <v>5970</v>
      </c>
      <c r="C2704" s="79" t="s">
        <v>8813</v>
      </c>
    </row>
    <row r="2705" spans="1:3" ht="31.5" x14ac:dyDescent="0.25">
      <c r="A2705" s="62" t="s">
        <v>5971</v>
      </c>
      <c r="B2705" s="63" t="s">
        <v>5972</v>
      </c>
      <c r="C2705" s="79" t="s">
        <v>8789</v>
      </c>
    </row>
    <row r="2706" spans="1:3" ht="31.5" x14ac:dyDescent="0.25">
      <c r="A2706" s="62" t="s">
        <v>5973</v>
      </c>
      <c r="B2706" s="63" t="s">
        <v>5974</v>
      </c>
      <c r="C2706" s="79" t="s">
        <v>8813</v>
      </c>
    </row>
    <row r="2707" spans="1:3" ht="31.5" x14ac:dyDescent="0.25">
      <c r="A2707" s="62" t="s">
        <v>5975</v>
      </c>
      <c r="B2707" s="63" t="s">
        <v>5976</v>
      </c>
      <c r="C2707" s="79" t="s">
        <v>8789</v>
      </c>
    </row>
    <row r="2708" spans="1:3" ht="31.5" x14ac:dyDescent="0.25">
      <c r="A2708" s="62" t="s">
        <v>5977</v>
      </c>
      <c r="B2708" s="63" t="s">
        <v>5978</v>
      </c>
      <c r="C2708" s="79" t="s">
        <v>8813</v>
      </c>
    </row>
    <row r="2709" spans="1:3" ht="31.5" x14ac:dyDescent="0.25">
      <c r="A2709" s="62" t="s">
        <v>5979</v>
      </c>
      <c r="B2709" s="63" t="s">
        <v>5980</v>
      </c>
      <c r="C2709" s="79" t="s">
        <v>8789</v>
      </c>
    </row>
    <row r="2710" spans="1:3" ht="31.5" x14ac:dyDescent="0.25">
      <c r="A2710" s="62" t="s">
        <v>5981</v>
      </c>
      <c r="B2710" s="63" t="s">
        <v>5982</v>
      </c>
      <c r="C2710" s="79" t="s">
        <v>8789</v>
      </c>
    </row>
    <row r="2711" spans="1:3" ht="31.5" x14ac:dyDescent="0.25">
      <c r="A2711" s="62" t="s">
        <v>5983</v>
      </c>
      <c r="B2711" s="63" t="s">
        <v>5984</v>
      </c>
      <c r="C2711" s="79" t="s">
        <v>8789</v>
      </c>
    </row>
    <row r="2712" spans="1:3" ht="31.5" x14ac:dyDescent="0.25">
      <c r="A2712" s="62" t="s">
        <v>5985</v>
      </c>
      <c r="B2712" s="63" t="s">
        <v>5986</v>
      </c>
      <c r="C2712" s="79" t="s">
        <v>8789</v>
      </c>
    </row>
    <row r="2713" spans="1:3" ht="31.5" x14ac:dyDescent="0.25">
      <c r="A2713" s="62" t="s">
        <v>5987</v>
      </c>
      <c r="B2713" s="63" t="s">
        <v>5988</v>
      </c>
      <c r="C2713" s="79" t="s">
        <v>8789</v>
      </c>
    </row>
    <row r="2714" spans="1:3" ht="31.5" x14ac:dyDescent="0.25">
      <c r="A2714" s="62" t="s">
        <v>5989</v>
      </c>
      <c r="B2714" s="63" t="s">
        <v>5990</v>
      </c>
      <c r="C2714" s="79" t="s">
        <v>8789</v>
      </c>
    </row>
    <row r="2715" spans="1:3" ht="31.5" x14ac:dyDescent="0.25">
      <c r="A2715" s="62" t="s">
        <v>5991</v>
      </c>
      <c r="B2715" s="63" t="s">
        <v>5992</v>
      </c>
      <c r="C2715" s="79" t="s">
        <v>8790</v>
      </c>
    </row>
    <row r="2716" spans="1:3" ht="31.5" x14ac:dyDescent="0.25">
      <c r="A2716" s="62" t="s">
        <v>5993</v>
      </c>
      <c r="B2716" s="63" t="s">
        <v>5994</v>
      </c>
      <c r="C2716" s="79" t="s">
        <v>8790</v>
      </c>
    </row>
    <row r="2717" spans="1:3" ht="31.5" x14ac:dyDescent="0.25">
      <c r="A2717" s="62" t="s">
        <v>5995</v>
      </c>
      <c r="B2717" s="63" t="s">
        <v>5996</v>
      </c>
      <c r="C2717" s="79" t="s">
        <v>8790</v>
      </c>
    </row>
    <row r="2718" spans="1:3" ht="31.5" x14ac:dyDescent="0.25">
      <c r="A2718" s="62" t="s">
        <v>5997</v>
      </c>
      <c r="B2718" s="63" t="s">
        <v>5998</v>
      </c>
      <c r="C2718" s="79" t="s">
        <v>8790</v>
      </c>
    </row>
    <row r="2719" spans="1:3" ht="31.5" x14ac:dyDescent="0.25">
      <c r="A2719" s="62" t="s">
        <v>5999</v>
      </c>
      <c r="B2719" s="63" t="s">
        <v>6000</v>
      </c>
      <c r="C2719" s="79" t="s">
        <v>8790</v>
      </c>
    </row>
    <row r="2720" spans="1:3" ht="31.5" x14ac:dyDescent="0.25">
      <c r="A2720" s="62" t="s">
        <v>6001</v>
      </c>
      <c r="B2720" s="63" t="s">
        <v>6002</v>
      </c>
      <c r="C2720" s="79" t="s">
        <v>8790</v>
      </c>
    </row>
    <row r="2721" spans="1:3" ht="31.5" x14ac:dyDescent="0.25">
      <c r="A2721" s="62" t="s">
        <v>6003</v>
      </c>
      <c r="B2721" s="63" t="s">
        <v>6004</v>
      </c>
      <c r="C2721" s="79" t="s">
        <v>8790</v>
      </c>
    </row>
    <row r="2722" spans="1:3" ht="31.5" x14ac:dyDescent="0.25">
      <c r="A2722" s="62" t="s">
        <v>6005</v>
      </c>
      <c r="B2722" s="63" t="s">
        <v>6006</v>
      </c>
      <c r="C2722" s="79" t="s">
        <v>8790</v>
      </c>
    </row>
    <row r="2723" spans="1:3" ht="31.5" x14ac:dyDescent="0.25">
      <c r="A2723" s="62" t="s">
        <v>6007</v>
      </c>
      <c r="B2723" s="63" t="s">
        <v>6008</v>
      </c>
      <c r="C2723" s="79" t="s">
        <v>8790</v>
      </c>
    </row>
    <row r="2724" spans="1:3" ht="31.5" x14ac:dyDescent="0.25">
      <c r="A2724" s="62" t="s">
        <v>6009</v>
      </c>
      <c r="B2724" s="63" t="s">
        <v>6010</v>
      </c>
      <c r="C2724" s="79" t="s">
        <v>8790</v>
      </c>
    </row>
    <row r="2725" spans="1:3" ht="31.5" x14ac:dyDescent="0.25">
      <c r="A2725" s="62" t="s">
        <v>6011</v>
      </c>
      <c r="B2725" s="63" t="s">
        <v>6012</v>
      </c>
      <c r="C2725" s="79" t="s">
        <v>8790</v>
      </c>
    </row>
    <row r="2726" spans="1:3" ht="31.5" x14ac:dyDescent="0.25">
      <c r="A2726" s="62" t="s">
        <v>6013</v>
      </c>
      <c r="B2726" s="63" t="s">
        <v>6014</v>
      </c>
      <c r="C2726" s="79" t="s">
        <v>8915</v>
      </c>
    </row>
    <row r="2727" spans="1:3" ht="31.5" x14ac:dyDescent="0.25">
      <c r="A2727" s="62" t="s">
        <v>6015</v>
      </c>
      <c r="B2727" s="63" t="s">
        <v>6016</v>
      </c>
      <c r="C2727" s="79" t="s">
        <v>8930</v>
      </c>
    </row>
    <row r="2728" spans="1:3" ht="31.5" x14ac:dyDescent="0.25">
      <c r="A2728" s="62" t="s">
        <v>6017</v>
      </c>
      <c r="B2728" s="63" t="s">
        <v>6018</v>
      </c>
      <c r="C2728" s="79" t="s">
        <v>8931</v>
      </c>
    </row>
    <row r="2729" spans="1:3" ht="31.5" x14ac:dyDescent="0.25">
      <c r="A2729" s="62" t="s">
        <v>6019</v>
      </c>
      <c r="B2729" s="63" t="s">
        <v>6020</v>
      </c>
      <c r="C2729" s="79" t="s">
        <v>8931</v>
      </c>
    </row>
    <row r="2730" spans="1:3" ht="31.5" x14ac:dyDescent="0.25">
      <c r="A2730" s="62" t="s">
        <v>6021</v>
      </c>
      <c r="B2730" s="63" t="s">
        <v>6022</v>
      </c>
      <c r="C2730" s="79" t="s">
        <v>8931</v>
      </c>
    </row>
    <row r="2731" spans="1:3" ht="31.5" x14ac:dyDescent="0.25">
      <c r="A2731" s="62" t="s">
        <v>6023</v>
      </c>
      <c r="B2731" s="63" t="s">
        <v>6024</v>
      </c>
      <c r="C2731" s="79" t="s">
        <v>8931</v>
      </c>
    </row>
    <row r="2732" spans="1:3" ht="31.5" x14ac:dyDescent="0.25">
      <c r="A2732" s="62" t="s">
        <v>6025</v>
      </c>
      <c r="B2732" s="63" t="s">
        <v>6026</v>
      </c>
      <c r="C2732" s="79" t="s">
        <v>8931</v>
      </c>
    </row>
    <row r="2733" spans="1:3" ht="31.5" x14ac:dyDescent="0.25">
      <c r="A2733" s="62" t="s">
        <v>6027</v>
      </c>
      <c r="B2733" s="63" t="s">
        <v>6028</v>
      </c>
      <c r="C2733" s="79" t="s">
        <v>8932</v>
      </c>
    </row>
    <row r="2734" spans="1:3" ht="31.5" x14ac:dyDescent="0.25">
      <c r="A2734" s="62" t="s">
        <v>6029</v>
      </c>
      <c r="B2734" s="63" t="s">
        <v>6030</v>
      </c>
      <c r="C2734" s="79" t="s">
        <v>8932</v>
      </c>
    </row>
    <row r="2735" spans="1:3" ht="31.5" x14ac:dyDescent="0.25">
      <c r="A2735" s="62" t="s">
        <v>6031</v>
      </c>
      <c r="B2735" s="63" t="s">
        <v>6032</v>
      </c>
      <c r="C2735" s="79" t="s">
        <v>8932</v>
      </c>
    </row>
    <row r="2736" spans="1:3" ht="31.5" x14ac:dyDescent="0.25">
      <c r="A2736" s="62" t="s">
        <v>6033</v>
      </c>
      <c r="B2736" s="63" t="s">
        <v>6034</v>
      </c>
      <c r="C2736" s="79" t="s">
        <v>8932</v>
      </c>
    </row>
    <row r="2737" spans="1:3" ht="31.5" x14ac:dyDescent="0.25">
      <c r="A2737" s="62" t="s">
        <v>6035</v>
      </c>
      <c r="B2737" s="63" t="s">
        <v>6036</v>
      </c>
      <c r="C2737" s="79" t="s">
        <v>8932</v>
      </c>
    </row>
    <row r="2738" spans="1:3" ht="31.5" x14ac:dyDescent="0.25">
      <c r="A2738" s="62" t="s">
        <v>6037</v>
      </c>
      <c r="B2738" s="63" t="s">
        <v>6038</v>
      </c>
      <c r="C2738" s="79" t="s">
        <v>8789</v>
      </c>
    </row>
    <row r="2739" spans="1:3" ht="31.5" x14ac:dyDescent="0.25">
      <c r="A2739" s="62" t="s">
        <v>6039</v>
      </c>
      <c r="B2739" s="63" t="s">
        <v>6040</v>
      </c>
      <c r="C2739" s="79" t="s">
        <v>8789</v>
      </c>
    </row>
    <row r="2740" spans="1:3" ht="31.5" x14ac:dyDescent="0.25">
      <c r="A2740" s="62" t="s">
        <v>6041</v>
      </c>
      <c r="B2740" s="63" t="s">
        <v>6042</v>
      </c>
      <c r="C2740" s="79" t="s">
        <v>8765</v>
      </c>
    </row>
    <row r="2741" spans="1:3" ht="31.5" x14ac:dyDescent="0.25">
      <c r="A2741" s="62" t="s">
        <v>6043</v>
      </c>
      <c r="B2741" s="63" t="s">
        <v>6044</v>
      </c>
      <c r="C2741" s="79" t="s">
        <v>8765</v>
      </c>
    </row>
    <row r="2742" spans="1:3" ht="31.5" x14ac:dyDescent="0.25">
      <c r="A2742" s="62" t="s">
        <v>6045</v>
      </c>
      <c r="B2742" s="63" t="s">
        <v>6046</v>
      </c>
      <c r="C2742" s="79" t="s">
        <v>8765</v>
      </c>
    </row>
    <row r="2743" spans="1:3" ht="31.5" x14ac:dyDescent="0.25">
      <c r="A2743" s="62" t="s">
        <v>6047</v>
      </c>
      <c r="B2743" s="63" t="s">
        <v>6048</v>
      </c>
      <c r="C2743" s="79" t="s">
        <v>8765</v>
      </c>
    </row>
    <row r="2744" spans="1:3" ht="31.5" x14ac:dyDescent="0.25">
      <c r="A2744" s="62" t="s">
        <v>6049</v>
      </c>
      <c r="B2744" s="63" t="s">
        <v>6050</v>
      </c>
      <c r="C2744" s="79" t="s">
        <v>8765</v>
      </c>
    </row>
    <row r="2745" spans="1:3" ht="31.5" x14ac:dyDescent="0.25">
      <c r="A2745" s="62" t="s">
        <v>6051</v>
      </c>
      <c r="B2745" s="63" t="s">
        <v>6052</v>
      </c>
      <c r="C2745" s="79" t="s">
        <v>8765</v>
      </c>
    </row>
    <row r="2746" spans="1:3" ht="31.5" x14ac:dyDescent="0.25">
      <c r="A2746" s="62" t="s">
        <v>6053</v>
      </c>
      <c r="B2746" s="63" t="s">
        <v>6054</v>
      </c>
      <c r="C2746" s="79" t="s">
        <v>8765</v>
      </c>
    </row>
    <row r="2747" spans="1:3" ht="31.5" x14ac:dyDescent="0.25">
      <c r="A2747" s="62" t="s">
        <v>6055</v>
      </c>
      <c r="B2747" s="63" t="s">
        <v>6056</v>
      </c>
      <c r="C2747" s="79" t="s">
        <v>8765</v>
      </c>
    </row>
    <row r="2748" spans="1:3" ht="31.5" x14ac:dyDescent="0.25">
      <c r="A2748" s="62" t="s">
        <v>6057</v>
      </c>
      <c r="B2748" s="63" t="s">
        <v>6058</v>
      </c>
      <c r="C2748" s="79" t="s">
        <v>8765</v>
      </c>
    </row>
    <row r="2749" spans="1:3" ht="31.5" x14ac:dyDescent="0.25">
      <c r="A2749" s="62" t="s">
        <v>6059</v>
      </c>
      <c r="B2749" s="63" t="s">
        <v>6060</v>
      </c>
      <c r="C2749" s="79" t="s">
        <v>8765</v>
      </c>
    </row>
    <row r="2750" spans="1:3" ht="31.5" x14ac:dyDescent="0.25">
      <c r="A2750" s="62" t="s">
        <v>6061</v>
      </c>
      <c r="B2750" s="63" t="s">
        <v>6062</v>
      </c>
      <c r="C2750" s="79" t="s">
        <v>8765</v>
      </c>
    </row>
    <row r="2751" spans="1:3" ht="31.5" x14ac:dyDescent="0.25">
      <c r="A2751" s="62" t="s">
        <v>6063</v>
      </c>
      <c r="B2751" s="63" t="s">
        <v>6064</v>
      </c>
      <c r="C2751" s="79" t="s">
        <v>8868</v>
      </c>
    </row>
    <row r="2752" spans="1:3" ht="31.5" x14ac:dyDescent="0.25">
      <c r="A2752" s="62" t="s">
        <v>6065</v>
      </c>
      <c r="B2752" s="63" t="s">
        <v>6066</v>
      </c>
      <c r="C2752" s="79" t="s">
        <v>8868</v>
      </c>
    </row>
    <row r="2753" spans="1:3" ht="31.5" x14ac:dyDescent="0.25">
      <c r="A2753" s="62" t="s">
        <v>6067</v>
      </c>
      <c r="B2753" s="63" t="s">
        <v>6068</v>
      </c>
      <c r="C2753" s="79" t="s">
        <v>8868</v>
      </c>
    </row>
    <row r="2754" spans="1:3" ht="31.5" x14ac:dyDescent="0.25">
      <c r="A2754" s="62" t="s">
        <v>6069</v>
      </c>
      <c r="B2754" s="63" t="s">
        <v>6070</v>
      </c>
      <c r="C2754" s="79" t="s">
        <v>8868</v>
      </c>
    </row>
    <row r="2755" spans="1:3" ht="31.5" x14ac:dyDescent="0.25">
      <c r="A2755" s="62" t="s">
        <v>6071</v>
      </c>
      <c r="B2755" s="63" t="s">
        <v>6072</v>
      </c>
      <c r="C2755" s="79" t="s">
        <v>8868</v>
      </c>
    </row>
    <row r="2756" spans="1:3" ht="31.5" x14ac:dyDescent="0.25">
      <c r="A2756" s="62" t="s">
        <v>6073</v>
      </c>
      <c r="B2756" s="63" t="s">
        <v>6074</v>
      </c>
      <c r="C2756" s="79" t="s">
        <v>8868</v>
      </c>
    </row>
    <row r="2757" spans="1:3" ht="31.5" x14ac:dyDescent="0.25">
      <c r="A2757" s="62" t="s">
        <v>6075</v>
      </c>
      <c r="B2757" s="63" t="s">
        <v>6076</v>
      </c>
      <c r="C2757" s="79" t="s">
        <v>8868</v>
      </c>
    </row>
    <row r="2758" spans="1:3" ht="31.5" x14ac:dyDescent="0.25">
      <c r="A2758" s="62" t="s">
        <v>6077</v>
      </c>
      <c r="B2758" s="63" t="s">
        <v>6078</v>
      </c>
      <c r="C2758" s="79" t="s">
        <v>8868</v>
      </c>
    </row>
    <row r="2759" spans="1:3" ht="31.5" x14ac:dyDescent="0.25">
      <c r="A2759" s="62" t="s">
        <v>6079</v>
      </c>
      <c r="B2759" s="63" t="s">
        <v>6080</v>
      </c>
      <c r="C2759" s="79" t="s">
        <v>8868</v>
      </c>
    </row>
    <row r="2760" spans="1:3" ht="31.5" x14ac:dyDescent="0.25">
      <c r="A2760" s="62" t="s">
        <v>6081</v>
      </c>
      <c r="B2760" s="63" t="s">
        <v>6082</v>
      </c>
      <c r="C2760" s="79" t="s">
        <v>8868</v>
      </c>
    </row>
    <row r="2761" spans="1:3" ht="31.5" x14ac:dyDescent="0.25">
      <c r="A2761" s="62" t="s">
        <v>6083</v>
      </c>
      <c r="B2761" s="63" t="s">
        <v>6084</v>
      </c>
      <c r="C2761" s="79" t="s">
        <v>8868</v>
      </c>
    </row>
    <row r="2762" spans="1:3" ht="31.5" x14ac:dyDescent="0.25">
      <c r="A2762" s="62" t="s">
        <v>6085</v>
      </c>
      <c r="B2762" s="63" t="s">
        <v>6086</v>
      </c>
      <c r="C2762" s="79" t="s">
        <v>8868</v>
      </c>
    </row>
    <row r="2763" spans="1:3" ht="31.5" x14ac:dyDescent="0.25">
      <c r="A2763" s="62" t="s">
        <v>6087</v>
      </c>
      <c r="B2763" s="63" t="s">
        <v>6088</v>
      </c>
      <c r="C2763" s="79" t="s">
        <v>8868</v>
      </c>
    </row>
    <row r="2764" spans="1:3" ht="31.5" x14ac:dyDescent="0.25">
      <c r="A2764" s="62" t="s">
        <v>6089</v>
      </c>
      <c r="B2764" s="63" t="s">
        <v>6090</v>
      </c>
      <c r="C2764" s="79" t="s">
        <v>8812</v>
      </c>
    </row>
    <row r="2765" spans="1:3" ht="31.5" x14ac:dyDescent="0.25">
      <c r="A2765" s="62" t="s">
        <v>6091</v>
      </c>
      <c r="B2765" s="63" t="s">
        <v>6092</v>
      </c>
      <c r="C2765" s="79" t="s">
        <v>8812</v>
      </c>
    </row>
    <row r="2766" spans="1:3" ht="31.5" x14ac:dyDescent="0.25">
      <c r="A2766" s="62" t="s">
        <v>6093</v>
      </c>
      <c r="B2766" s="63" t="s">
        <v>6094</v>
      </c>
      <c r="C2766" s="79" t="s">
        <v>8812</v>
      </c>
    </row>
    <row r="2767" spans="1:3" ht="31.5" x14ac:dyDescent="0.25">
      <c r="A2767" s="62" t="s">
        <v>6095</v>
      </c>
      <c r="B2767" s="63" t="s">
        <v>6096</v>
      </c>
      <c r="C2767" s="79" t="s">
        <v>8812</v>
      </c>
    </row>
    <row r="2768" spans="1:3" ht="31.5" x14ac:dyDescent="0.25">
      <c r="A2768" s="62" t="s">
        <v>6097</v>
      </c>
      <c r="B2768" s="63" t="s">
        <v>6098</v>
      </c>
      <c r="C2768" s="79" t="s">
        <v>8812</v>
      </c>
    </row>
    <row r="2769" spans="1:3" ht="31.5" x14ac:dyDescent="0.25">
      <c r="A2769" s="62" t="s">
        <v>6099</v>
      </c>
      <c r="B2769" s="63" t="s">
        <v>6100</v>
      </c>
      <c r="C2769" s="79" t="s">
        <v>8439</v>
      </c>
    </row>
    <row r="2770" spans="1:3" ht="31.5" x14ac:dyDescent="0.25">
      <c r="A2770" s="62" t="s">
        <v>6101</v>
      </c>
      <c r="B2770" s="63" t="s">
        <v>6102</v>
      </c>
      <c r="C2770" s="79" t="s">
        <v>8439</v>
      </c>
    </row>
    <row r="2771" spans="1:3" ht="31.5" x14ac:dyDescent="0.25">
      <c r="A2771" s="62" t="s">
        <v>6103</v>
      </c>
      <c r="B2771" s="63" t="s">
        <v>6104</v>
      </c>
      <c r="C2771" s="79" t="s">
        <v>8439</v>
      </c>
    </row>
    <row r="2772" spans="1:3" ht="31.5" x14ac:dyDescent="0.25">
      <c r="A2772" s="62" t="s">
        <v>6105</v>
      </c>
      <c r="B2772" s="63" t="s">
        <v>6106</v>
      </c>
      <c r="C2772" s="79" t="s">
        <v>8439</v>
      </c>
    </row>
    <row r="2773" spans="1:3" ht="31.5" x14ac:dyDescent="0.25">
      <c r="A2773" s="62" t="s">
        <v>6107</v>
      </c>
      <c r="B2773" s="63" t="s">
        <v>6108</v>
      </c>
      <c r="C2773" s="79" t="s">
        <v>8439</v>
      </c>
    </row>
    <row r="2774" spans="1:3" ht="31.5" x14ac:dyDescent="0.25">
      <c r="A2774" s="62" t="s">
        <v>6109</v>
      </c>
      <c r="B2774" s="63" t="s">
        <v>6110</v>
      </c>
      <c r="C2774" s="79" t="s">
        <v>8765</v>
      </c>
    </row>
    <row r="2775" spans="1:3" ht="31.5" x14ac:dyDescent="0.25">
      <c r="A2775" s="62" t="s">
        <v>6111</v>
      </c>
      <c r="B2775" s="63" t="s">
        <v>6112</v>
      </c>
      <c r="C2775" s="79" t="s">
        <v>8765</v>
      </c>
    </row>
    <row r="2776" spans="1:3" x14ac:dyDescent="0.25">
      <c r="A2776" s="62" t="s">
        <v>6113</v>
      </c>
      <c r="B2776" s="63" t="s">
        <v>6114</v>
      </c>
      <c r="C2776" s="79" t="s">
        <v>8777</v>
      </c>
    </row>
    <row r="2777" spans="1:3" x14ac:dyDescent="0.25">
      <c r="A2777" s="62" t="s">
        <v>6115</v>
      </c>
      <c r="B2777" s="63" t="s">
        <v>6116</v>
      </c>
      <c r="C2777" s="79" t="s">
        <v>8824</v>
      </c>
    </row>
    <row r="2778" spans="1:3" x14ac:dyDescent="0.25">
      <c r="A2778" s="62" t="s">
        <v>6117</v>
      </c>
      <c r="B2778" s="63" t="s">
        <v>6118</v>
      </c>
      <c r="C2778" s="79" t="s">
        <v>8824</v>
      </c>
    </row>
    <row r="2779" spans="1:3" x14ac:dyDescent="0.25">
      <c r="A2779" s="62" t="s">
        <v>6119</v>
      </c>
      <c r="B2779" s="63" t="s">
        <v>6120</v>
      </c>
      <c r="C2779" s="79" t="s">
        <v>8824</v>
      </c>
    </row>
    <row r="2780" spans="1:3" x14ac:dyDescent="0.25">
      <c r="A2780" s="62" t="s">
        <v>6121</v>
      </c>
      <c r="B2780" s="63" t="s">
        <v>6122</v>
      </c>
      <c r="C2780" s="79" t="s">
        <v>8824</v>
      </c>
    </row>
    <row r="2781" spans="1:3" x14ac:dyDescent="0.25">
      <c r="A2781" s="62" t="s">
        <v>6123</v>
      </c>
      <c r="B2781" s="63" t="s">
        <v>6124</v>
      </c>
      <c r="C2781" s="79" t="s">
        <v>8824</v>
      </c>
    </row>
    <row r="2782" spans="1:3" x14ac:dyDescent="0.25">
      <c r="A2782" s="62" t="s">
        <v>6125</v>
      </c>
      <c r="B2782" s="63" t="s">
        <v>6126</v>
      </c>
      <c r="C2782" s="79" t="s">
        <v>8824</v>
      </c>
    </row>
    <row r="2783" spans="1:3" x14ac:dyDescent="0.25">
      <c r="A2783" s="62" t="s">
        <v>6127</v>
      </c>
      <c r="B2783" s="63" t="s">
        <v>6128</v>
      </c>
      <c r="C2783" s="79" t="s">
        <v>8824</v>
      </c>
    </row>
    <row r="2784" spans="1:3" x14ac:dyDescent="0.25">
      <c r="A2784" s="62" t="s">
        <v>6129</v>
      </c>
      <c r="B2784" s="63" t="s">
        <v>6120</v>
      </c>
      <c r="C2784" s="79" t="s">
        <v>8824</v>
      </c>
    </row>
    <row r="2785" spans="1:3" x14ac:dyDescent="0.25">
      <c r="A2785" s="62" t="s">
        <v>6130</v>
      </c>
      <c r="B2785" s="63" t="s">
        <v>6131</v>
      </c>
      <c r="C2785" s="79" t="s">
        <v>8824</v>
      </c>
    </row>
    <row r="2786" spans="1:3" x14ac:dyDescent="0.25">
      <c r="A2786" s="62" t="s">
        <v>6132</v>
      </c>
      <c r="B2786" s="63" t="s">
        <v>6133</v>
      </c>
      <c r="C2786" s="79" t="s">
        <v>8824</v>
      </c>
    </row>
    <row r="2787" spans="1:3" x14ac:dyDescent="0.25">
      <c r="A2787" s="62" t="s">
        <v>6134</v>
      </c>
      <c r="B2787" s="63" t="s">
        <v>6135</v>
      </c>
      <c r="C2787" s="79" t="s">
        <v>8824</v>
      </c>
    </row>
    <row r="2788" spans="1:3" x14ac:dyDescent="0.25">
      <c r="A2788" s="62" t="s">
        <v>6136</v>
      </c>
      <c r="B2788" s="63" t="s">
        <v>6137</v>
      </c>
      <c r="C2788" s="79" t="s">
        <v>8824</v>
      </c>
    </row>
    <row r="2789" spans="1:3" x14ac:dyDescent="0.25">
      <c r="A2789" s="62" t="s">
        <v>6138</v>
      </c>
      <c r="B2789" s="63" t="s">
        <v>6139</v>
      </c>
      <c r="C2789" s="79" t="s">
        <v>8824</v>
      </c>
    </row>
    <row r="2790" spans="1:3" x14ac:dyDescent="0.25">
      <c r="A2790" s="62" t="s">
        <v>6140</v>
      </c>
      <c r="B2790" s="63" t="s">
        <v>6141</v>
      </c>
      <c r="C2790" s="79" t="s">
        <v>8824</v>
      </c>
    </row>
    <row r="2791" spans="1:3" x14ac:dyDescent="0.25">
      <c r="A2791" s="62" t="s">
        <v>6142</v>
      </c>
      <c r="B2791" s="63" t="s">
        <v>6143</v>
      </c>
      <c r="C2791" s="79" t="s">
        <v>8824</v>
      </c>
    </row>
    <row r="2792" spans="1:3" x14ac:dyDescent="0.25">
      <c r="A2792" s="62" t="s">
        <v>6144</v>
      </c>
      <c r="B2792" s="63" t="s">
        <v>6145</v>
      </c>
      <c r="C2792" s="79" t="s">
        <v>8800</v>
      </c>
    </row>
    <row r="2793" spans="1:3" x14ac:dyDescent="0.25">
      <c r="A2793" s="62" t="s">
        <v>6146</v>
      </c>
      <c r="B2793" s="63" t="s">
        <v>6145</v>
      </c>
      <c r="C2793" s="79" t="s">
        <v>8800</v>
      </c>
    </row>
    <row r="2794" spans="1:3" x14ac:dyDescent="0.25">
      <c r="A2794" s="62" t="s">
        <v>6147</v>
      </c>
      <c r="B2794" s="63" t="s">
        <v>6148</v>
      </c>
      <c r="C2794" s="79" t="s">
        <v>8837</v>
      </c>
    </row>
    <row r="2795" spans="1:3" x14ac:dyDescent="0.25">
      <c r="A2795" s="62" t="s">
        <v>6149</v>
      </c>
      <c r="B2795" s="63" t="s">
        <v>6148</v>
      </c>
      <c r="C2795" s="79" t="s">
        <v>8837</v>
      </c>
    </row>
    <row r="2796" spans="1:3" x14ac:dyDescent="0.25">
      <c r="A2796" s="62" t="s">
        <v>6150</v>
      </c>
      <c r="B2796" s="63" t="s">
        <v>6151</v>
      </c>
      <c r="C2796" s="79" t="s">
        <v>8837</v>
      </c>
    </row>
    <row r="2797" spans="1:3" x14ac:dyDescent="0.25">
      <c r="A2797" s="62" t="s">
        <v>6152</v>
      </c>
      <c r="B2797" s="63" t="s">
        <v>6153</v>
      </c>
      <c r="C2797" s="79" t="s">
        <v>8837</v>
      </c>
    </row>
    <row r="2798" spans="1:3" x14ac:dyDescent="0.25">
      <c r="A2798" s="62" t="s">
        <v>6154</v>
      </c>
      <c r="B2798" s="63" t="s">
        <v>6155</v>
      </c>
      <c r="C2798" s="79" t="s">
        <v>8837</v>
      </c>
    </row>
    <row r="2799" spans="1:3" x14ac:dyDescent="0.25">
      <c r="A2799" s="62" t="s">
        <v>6156</v>
      </c>
      <c r="B2799" s="63" t="s">
        <v>6157</v>
      </c>
      <c r="C2799" s="79" t="s">
        <v>8837</v>
      </c>
    </row>
    <row r="2800" spans="1:3" x14ac:dyDescent="0.25">
      <c r="A2800" s="62" t="s">
        <v>6158</v>
      </c>
      <c r="B2800" s="63" t="s">
        <v>6159</v>
      </c>
      <c r="C2800" s="79" t="s">
        <v>8837</v>
      </c>
    </row>
    <row r="2801" spans="1:3" x14ac:dyDescent="0.25">
      <c r="A2801" s="62" t="s">
        <v>6160</v>
      </c>
      <c r="B2801" s="63" t="s">
        <v>6161</v>
      </c>
      <c r="C2801" s="79" t="s">
        <v>8837</v>
      </c>
    </row>
    <row r="2802" spans="1:3" x14ac:dyDescent="0.25">
      <c r="A2802" s="62" t="s">
        <v>6162</v>
      </c>
      <c r="B2802" s="63" t="s">
        <v>6163</v>
      </c>
      <c r="C2802" s="79" t="s">
        <v>8837</v>
      </c>
    </row>
    <row r="2803" spans="1:3" x14ac:dyDescent="0.25">
      <c r="A2803" s="62" t="s">
        <v>6164</v>
      </c>
      <c r="B2803" s="63" t="s">
        <v>6165</v>
      </c>
      <c r="C2803" s="79" t="s">
        <v>8837</v>
      </c>
    </row>
    <row r="2804" spans="1:3" x14ac:dyDescent="0.25">
      <c r="A2804" s="62" t="s">
        <v>6166</v>
      </c>
      <c r="B2804" s="63" t="s">
        <v>6167</v>
      </c>
      <c r="C2804" s="79" t="s">
        <v>8837</v>
      </c>
    </row>
    <row r="2805" spans="1:3" x14ac:dyDescent="0.25">
      <c r="A2805" s="62" t="s">
        <v>6168</v>
      </c>
      <c r="B2805" s="63" t="s">
        <v>6169</v>
      </c>
      <c r="C2805" s="79" t="s">
        <v>8837</v>
      </c>
    </row>
    <row r="2806" spans="1:3" x14ac:dyDescent="0.25">
      <c r="A2806" s="62" t="s">
        <v>6170</v>
      </c>
      <c r="B2806" s="63" t="s">
        <v>6171</v>
      </c>
      <c r="C2806" s="79" t="s">
        <v>8837</v>
      </c>
    </row>
    <row r="2807" spans="1:3" x14ac:dyDescent="0.25">
      <c r="A2807" s="62" t="s">
        <v>6172</v>
      </c>
      <c r="B2807" s="63" t="s">
        <v>6173</v>
      </c>
      <c r="C2807" s="79" t="s">
        <v>8837</v>
      </c>
    </row>
    <row r="2808" spans="1:3" x14ac:dyDescent="0.25">
      <c r="A2808" s="62" t="s">
        <v>6174</v>
      </c>
      <c r="B2808" s="63" t="s">
        <v>6175</v>
      </c>
      <c r="C2808" s="79" t="s">
        <v>8837</v>
      </c>
    </row>
    <row r="2809" spans="1:3" x14ac:dyDescent="0.25">
      <c r="A2809" s="62" t="s">
        <v>6176</v>
      </c>
      <c r="B2809" s="63" t="s">
        <v>6177</v>
      </c>
      <c r="C2809" s="79" t="s">
        <v>8726</v>
      </c>
    </row>
    <row r="2810" spans="1:3" x14ac:dyDescent="0.25">
      <c r="A2810" s="62" t="s">
        <v>6178</v>
      </c>
      <c r="B2810" s="63" t="s">
        <v>6179</v>
      </c>
      <c r="C2810" s="79" t="s">
        <v>8726</v>
      </c>
    </row>
    <row r="2811" spans="1:3" x14ac:dyDescent="0.25">
      <c r="A2811" s="62" t="s">
        <v>6180</v>
      </c>
      <c r="B2811" s="63" t="s">
        <v>6181</v>
      </c>
      <c r="C2811" s="79" t="s">
        <v>8726</v>
      </c>
    </row>
    <row r="2812" spans="1:3" x14ac:dyDescent="0.25">
      <c r="A2812" s="62" t="s">
        <v>6182</v>
      </c>
      <c r="B2812" s="63" t="s">
        <v>6183</v>
      </c>
      <c r="C2812" s="79" t="s">
        <v>8726</v>
      </c>
    </row>
    <row r="2813" spans="1:3" x14ac:dyDescent="0.25">
      <c r="A2813" s="62" t="s">
        <v>6184</v>
      </c>
      <c r="B2813" s="63" t="s">
        <v>6185</v>
      </c>
      <c r="C2813" s="79" t="s">
        <v>8726</v>
      </c>
    </row>
    <row r="2814" spans="1:3" x14ac:dyDescent="0.25">
      <c r="A2814" s="62" t="s">
        <v>6186</v>
      </c>
      <c r="B2814" s="63" t="s">
        <v>6187</v>
      </c>
      <c r="C2814" s="79" t="s">
        <v>8694</v>
      </c>
    </row>
    <row r="2815" spans="1:3" x14ac:dyDescent="0.25">
      <c r="A2815" s="62" t="s">
        <v>6188</v>
      </c>
      <c r="B2815" s="63" t="s">
        <v>6189</v>
      </c>
      <c r="C2815" s="79" t="s">
        <v>8694</v>
      </c>
    </row>
    <row r="2816" spans="1:3" x14ac:dyDescent="0.25">
      <c r="A2816" s="62" t="s">
        <v>6190</v>
      </c>
      <c r="B2816" s="63" t="s">
        <v>6191</v>
      </c>
      <c r="C2816" s="79" t="s">
        <v>8694</v>
      </c>
    </row>
    <row r="2817" spans="1:3" x14ac:dyDescent="0.25">
      <c r="A2817" s="62" t="s">
        <v>6192</v>
      </c>
      <c r="B2817" s="63" t="s">
        <v>6193</v>
      </c>
      <c r="C2817" s="79" t="s">
        <v>8694</v>
      </c>
    </row>
    <row r="2818" spans="1:3" x14ac:dyDescent="0.25">
      <c r="A2818" s="62" t="s">
        <v>6194</v>
      </c>
      <c r="B2818" s="63" t="s">
        <v>6195</v>
      </c>
      <c r="C2818" s="79" t="s">
        <v>8694</v>
      </c>
    </row>
    <row r="2819" spans="1:3" x14ac:dyDescent="0.25">
      <c r="A2819" s="62" t="s">
        <v>6196</v>
      </c>
      <c r="B2819" s="63" t="s">
        <v>6197</v>
      </c>
      <c r="C2819" s="79" t="s">
        <v>8698</v>
      </c>
    </row>
    <row r="2820" spans="1:3" x14ac:dyDescent="0.25">
      <c r="A2820" s="62" t="s">
        <v>6198</v>
      </c>
      <c r="B2820" s="63" t="s">
        <v>6199</v>
      </c>
      <c r="C2820" s="79" t="s">
        <v>8687</v>
      </c>
    </row>
    <row r="2821" spans="1:3" x14ac:dyDescent="0.25">
      <c r="A2821" s="62" t="s">
        <v>6200</v>
      </c>
      <c r="B2821" s="63" t="s">
        <v>6201</v>
      </c>
      <c r="C2821" s="79" t="s">
        <v>8687</v>
      </c>
    </row>
    <row r="2822" spans="1:3" x14ac:dyDescent="0.25">
      <c r="A2822" s="62" t="s">
        <v>6202</v>
      </c>
      <c r="B2822" s="63" t="s">
        <v>6203</v>
      </c>
      <c r="C2822" s="79" t="s">
        <v>8687</v>
      </c>
    </row>
    <row r="2823" spans="1:3" x14ac:dyDescent="0.25">
      <c r="A2823" s="62" t="s">
        <v>6204</v>
      </c>
      <c r="B2823" s="63" t="s">
        <v>6205</v>
      </c>
      <c r="C2823" s="79" t="s">
        <v>8687</v>
      </c>
    </row>
    <row r="2824" spans="1:3" x14ac:dyDescent="0.25">
      <c r="A2824" s="62" t="s">
        <v>6206</v>
      </c>
      <c r="B2824" s="63" t="s">
        <v>6207</v>
      </c>
      <c r="C2824" s="79" t="s">
        <v>8687</v>
      </c>
    </row>
    <row r="2825" spans="1:3" x14ac:dyDescent="0.25">
      <c r="A2825" s="62" t="s">
        <v>6208</v>
      </c>
      <c r="B2825" s="63" t="s">
        <v>6209</v>
      </c>
      <c r="C2825" s="79" t="s">
        <v>8687</v>
      </c>
    </row>
    <row r="2826" spans="1:3" x14ac:dyDescent="0.25">
      <c r="A2826" s="62" t="s">
        <v>6210</v>
      </c>
      <c r="B2826" s="63" t="s">
        <v>6211</v>
      </c>
      <c r="C2826" s="79" t="s">
        <v>8687</v>
      </c>
    </row>
    <row r="2827" spans="1:3" x14ac:dyDescent="0.25">
      <c r="A2827" s="62" t="s">
        <v>6212</v>
      </c>
      <c r="B2827" s="63" t="s">
        <v>6213</v>
      </c>
      <c r="C2827" s="79" t="s">
        <v>8687</v>
      </c>
    </row>
    <row r="2828" spans="1:3" x14ac:dyDescent="0.25">
      <c r="A2828" s="62" t="s">
        <v>6214</v>
      </c>
      <c r="B2828" s="63" t="s">
        <v>6215</v>
      </c>
      <c r="C2828" s="79" t="s">
        <v>8687</v>
      </c>
    </row>
    <row r="2829" spans="1:3" x14ac:dyDescent="0.25">
      <c r="A2829" s="62" t="s">
        <v>6216</v>
      </c>
      <c r="B2829" s="63" t="s">
        <v>6217</v>
      </c>
      <c r="C2829" s="79" t="s">
        <v>8687</v>
      </c>
    </row>
    <row r="2830" spans="1:3" x14ac:dyDescent="0.25">
      <c r="A2830" s="62" t="s">
        <v>6218</v>
      </c>
      <c r="B2830" s="63" t="s">
        <v>6219</v>
      </c>
      <c r="C2830" s="79" t="s">
        <v>8687</v>
      </c>
    </row>
    <row r="2831" spans="1:3" x14ac:dyDescent="0.25">
      <c r="A2831" s="62" t="s">
        <v>6220</v>
      </c>
      <c r="B2831" s="63" t="s">
        <v>6221</v>
      </c>
      <c r="C2831" s="79" t="s">
        <v>8687</v>
      </c>
    </row>
    <row r="2832" spans="1:3" x14ac:dyDescent="0.25">
      <c r="A2832" s="62" t="s">
        <v>6222</v>
      </c>
      <c r="B2832" s="63" t="s">
        <v>6223</v>
      </c>
      <c r="C2832" s="79" t="s">
        <v>8687</v>
      </c>
    </row>
    <row r="2833" spans="1:3" x14ac:dyDescent="0.25">
      <c r="A2833" s="62" t="s">
        <v>6224</v>
      </c>
      <c r="B2833" s="63" t="s">
        <v>6225</v>
      </c>
      <c r="C2833" s="79" t="s">
        <v>8687</v>
      </c>
    </row>
    <row r="2834" spans="1:3" x14ac:dyDescent="0.25">
      <c r="A2834" s="62" t="s">
        <v>6226</v>
      </c>
      <c r="B2834" s="63" t="s">
        <v>6227</v>
      </c>
      <c r="C2834" s="79" t="s">
        <v>8687</v>
      </c>
    </row>
    <row r="2835" spans="1:3" x14ac:dyDescent="0.25">
      <c r="A2835" s="62" t="s">
        <v>6228</v>
      </c>
      <c r="B2835" s="63" t="s">
        <v>6229</v>
      </c>
      <c r="C2835" s="79" t="s">
        <v>8687</v>
      </c>
    </row>
    <row r="2836" spans="1:3" x14ac:dyDescent="0.25">
      <c r="A2836" s="62" t="s">
        <v>6230</v>
      </c>
      <c r="B2836" s="63" t="s">
        <v>6231</v>
      </c>
      <c r="C2836" s="79" t="s">
        <v>8687</v>
      </c>
    </row>
    <row r="2837" spans="1:3" x14ac:dyDescent="0.25">
      <c r="A2837" s="62" t="s">
        <v>6232</v>
      </c>
      <c r="B2837" s="63" t="s">
        <v>6233</v>
      </c>
      <c r="C2837" s="79" t="s">
        <v>8687</v>
      </c>
    </row>
    <row r="2838" spans="1:3" x14ac:dyDescent="0.25">
      <c r="A2838" s="62" t="s">
        <v>6234</v>
      </c>
      <c r="B2838" s="63" t="s">
        <v>6235</v>
      </c>
      <c r="C2838" s="79" t="s">
        <v>8687</v>
      </c>
    </row>
    <row r="2839" spans="1:3" x14ac:dyDescent="0.25">
      <c r="A2839" s="62" t="s">
        <v>6236</v>
      </c>
      <c r="B2839" s="63" t="s">
        <v>6237</v>
      </c>
      <c r="C2839" s="79" t="s">
        <v>8687</v>
      </c>
    </row>
    <row r="2840" spans="1:3" ht="18" x14ac:dyDescent="0.25">
      <c r="A2840" s="182"/>
      <c r="B2840" s="182" t="s">
        <v>8933</v>
      </c>
      <c r="C2840" s="183"/>
    </row>
    <row r="2841" spans="1:3" x14ac:dyDescent="0.25">
      <c r="A2841" s="62" t="s">
        <v>6238</v>
      </c>
      <c r="B2841" s="63" t="s">
        <v>6239</v>
      </c>
      <c r="C2841" s="79" t="s">
        <v>8908</v>
      </c>
    </row>
    <row r="2842" spans="1:3" x14ac:dyDescent="0.25">
      <c r="A2842" s="62" t="s">
        <v>6240</v>
      </c>
      <c r="B2842" s="63" t="s">
        <v>6241</v>
      </c>
      <c r="C2842" s="79" t="s">
        <v>8913</v>
      </c>
    </row>
    <row r="2843" spans="1:3" x14ac:dyDescent="0.25">
      <c r="A2843" s="62" t="s">
        <v>6242</v>
      </c>
      <c r="B2843" s="63" t="s">
        <v>6243</v>
      </c>
      <c r="C2843" s="79" t="s">
        <v>8422</v>
      </c>
    </row>
    <row r="2844" spans="1:3" ht="18" x14ac:dyDescent="0.25">
      <c r="A2844" s="182"/>
      <c r="B2844" s="182" t="s">
        <v>8934</v>
      </c>
      <c r="C2844" s="183"/>
    </row>
    <row r="2845" spans="1:3" x14ac:dyDescent="0.25">
      <c r="A2845" s="62" t="s">
        <v>6244</v>
      </c>
      <c r="B2845" s="63" t="s">
        <v>6245</v>
      </c>
      <c r="C2845" s="79" t="s">
        <v>8825</v>
      </c>
    </row>
    <row r="2846" spans="1:3" ht="18" x14ac:dyDescent="0.25">
      <c r="A2846" s="182"/>
      <c r="B2846" s="182" t="s">
        <v>8935</v>
      </c>
      <c r="C2846" s="183"/>
    </row>
    <row r="2847" spans="1:3" ht="31.5" x14ac:dyDescent="0.25">
      <c r="A2847" s="62" t="s">
        <v>6246</v>
      </c>
      <c r="B2847" s="63" t="s">
        <v>6247</v>
      </c>
      <c r="C2847" s="79" t="s">
        <v>8936</v>
      </c>
    </row>
    <row r="2848" spans="1:3" ht="31.5" x14ac:dyDescent="0.25">
      <c r="A2848" s="62" t="s">
        <v>6248</v>
      </c>
      <c r="B2848" s="63" t="s">
        <v>6249</v>
      </c>
      <c r="C2848" s="79" t="s">
        <v>8936</v>
      </c>
    </row>
    <row r="2849" spans="1:3" ht="31.5" x14ac:dyDescent="0.25">
      <c r="A2849" s="62" t="s">
        <v>6250</v>
      </c>
      <c r="B2849" s="63" t="s">
        <v>6251</v>
      </c>
      <c r="C2849" s="79" t="s">
        <v>8936</v>
      </c>
    </row>
    <row r="2850" spans="1:3" ht="31.5" x14ac:dyDescent="0.25">
      <c r="A2850" s="62" t="s">
        <v>6252</v>
      </c>
      <c r="B2850" s="63" t="s">
        <v>6253</v>
      </c>
      <c r="C2850" s="79" t="s">
        <v>8936</v>
      </c>
    </row>
    <row r="2851" spans="1:3" ht="31.5" x14ac:dyDescent="0.25">
      <c r="A2851" s="62" t="s">
        <v>6254</v>
      </c>
      <c r="B2851" s="63" t="s">
        <v>6255</v>
      </c>
      <c r="C2851" s="79" t="s">
        <v>8936</v>
      </c>
    </row>
    <row r="2852" spans="1:3" ht="31.5" x14ac:dyDescent="0.25">
      <c r="A2852" s="62" t="s">
        <v>6256</v>
      </c>
      <c r="B2852" s="63" t="s">
        <v>6257</v>
      </c>
      <c r="C2852" s="79" t="s">
        <v>8936</v>
      </c>
    </row>
    <row r="2853" spans="1:3" ht="31.5" x14ac:dyDescent="0.25">
      <c r="A2853" s="62" t="s">
        <v>6258</v>
      </c>
      <c r="B2853" s="63" t="s">
        <v>6259</v>
      </c>
      <c r="C2853" s="79" t="s">
        <v>8936</v>
      </c>
    </row>
    <row r="2854" spans="1:3" ht="31.5" x14ac:dyDescent="0.25">
      <c r="A2854" s="62" t="s">
        <v>6260</v>
      </c>
      <c r="B2854" s="63" t="s">
        <v>6261</v>
      </c>
      <c r="C2854" s="79" t="s">
        <v>8936</v>
      </c>
    </row>
    <row r="2855" spans="1:3" ht="31.5" x14ac:dyDescent="0.25">
      <c r="A2855" s="62" t="s">
        <v>6262</v>
      </c>
      <c r="B2855" s="63" t="s">
        <v>6263</v>
      </c>
      <c r="C2855" s="79" t="s">
        <v>8936</v>
      </c>
    </row>
    <row r="2856" spans="1:3" ht="31.5" x14ac:dyDescent="0.25">
      <c r="A2856" s="62" t="s">
        <v>6264</v>
      </c>
      <c r="B2856" s="63" t="s">
        <v>6265</v>
      </c>
      <c r="C2856" s="79" t="s">
        <v>8936</v>
      </c>
    </row>
    <row r="2857" spans="1:3" ht="31.5" x14ac:dyDescent="0.25">
      <c r="A2857" s="62" t="s">
        <v>6266</v>
      </c>
      <c r="B2857" s="63" t="s">
        <v>6267</v>
      </c>
      <c r="C2857" s="79" t="s">
        <v>8925</v>
      </c>
    </row>
    <row r="2858" spans="1:3" ht="31.5" x14ac:dyDescent="0.25">
      <c r="A2858" s="62" t="s">
        <v>6268</v>
      </c>
      <c r="B2858" s="63" t="s">
        <v>6269</v>
      </c>
      <c r="C2858" s="79" t="s">
        <v>8925</v>
      </c>
    </row>
    <row r="2859" spans="1:3" ht="31.5" x14ac:dyDescent="0.25">
      <c r="A2859" s="62" t="s">
        <v>6270</v>
      </c>
      <c r="B2859" s="63" t="s">
        <v>6271</v>
      </c>
      <c r="C2859" s="79" t="s">
        <v>8925</v>
      </c>
    </row>
    <row r="2860" spans="1:3" ht="31.5" x14ac:dyDescent="0.25">
      <c r="A2860" s="62" t="s">
        <v>6272</v>
      </c>
      <c r="B2860" s="63" t="s">
        <v>6273</v>
      </c>
      <c r="C2860" s="79" t="s">
        <v>8925</v>
      </c>
    </row>
    <row r="2861" spans="1:3" ht="31.5" x14ac:dyDescent="0.25">
      <c r="A2861" s="62" t="s">
        <v>6274</v>
      </c>
      <c r="B2861" s="63" t="s">
        <v>6275</v>
      </c>
      <c r="C2861" s="79" t="s">
        <v>8925</v>
      </c>
    </row>
    <row r="2862" spans="1:3" ht="31.5" x14ac:dyDescent="0.25">
      <c r="A2862" s="62" t="s">
        <v>6276</v>
      </c>
      <c r="B2862" s="63" t="s">
        <v>6277</v>
      </c>
      <c r="C2862" s="79" t="s">
        <v>8936</v>
      </c>
    </row>
    <row r="2863" spans="1:3" ht="31.5" x14ac:dyDescent="0.25">
      <c r="A2863" s="62" t="s">
        <v>6278</v>
      </c>
      <c r="B2863" s="63" t="s">
        <v>6279</v>
      </c>
      <c r="C2863" s="79" t="s">
        <v>8936</v>
      </c>
    </row>
    <row r="2864" spans="1:3" ht="31.5" x14ac:dyDescent="0.25">
      <c r="A2864" s="62" t="s">
        <v>6280</v>
      </c>
      <c r="B2864" s="63" t="s">
        <v>6281</v>
      </c>
      <c r="C2864" s="79" t="s">
        <v>8936</v>
      </c>
    </row>
    <row r="2865" spans="1:3" ht="31.5" x14ac:dyDescent="0.25">
      <c r="A2865" s="62" t="s">
        <v>6282</v>
      </c>
      <c r="B2865" s="63" t="s">
        <v>6283</v>
      </c>
      <c r="C2865" s="79" t="s">
        <v>8936</v>
      </c>
    </row>
    <row r="2866" spans="1:3" ht="31.5" x14ac:dyDescent="0.25">
      <c r="A2866" s="62" t="s">
        <v>6284</v>
      </c>
      <c r="B2866" s="63" t="s">
        <v>6285</v>
      </c>
      <c r="C2866" s="79" t="s">
        <v>8936</v>
      </c>
    </row>
    <row r="2867" spans="1:3" ht="31.5" x14ac:dyDescent="0.25">
      <c r="A2867" s="62" t="s">
        <v>6286</v>
      </c>
      <c r="B2867" s="63" t="s">
        <v>6287</v>
      </c>
      <c r="C2867" s="79" t="s">
        <v>8937</v>
      </c>
    </row>
    <row r="2868" spans="1:3" ht="31.5" x14ac:dyDescent="0.25">
      <c r="A2868" s="62" t="s">
        <v>6288</v>
      </c>
      <c r="B2868" s="63" t="s">
        <v>6289</v>
      </c>
      <c r="C2868" s="79" t="s">
        <v>8937</v>
      </c>
    </row>
    <row r="2869" spans="1:3" ht="31.5" x14ac:dyDescent="0.25">
      <c r="A2869" s="62" t="s">
        <v>6290</v>
      </c>
      <c r="B2869" s="63" t="s">
        <v>6291</v>
      </c>
      <c r="C2869" s="79" t="s">
        <v>8937</v>
      </c>
    </row>
    <row r="2870" spans="1:3" ht="31.5" x14ac:dyDescent="0.25">
      <c r="A2870" s="62" t="s">
        <v>6292</v>
      </c>
      <c r="B2870" s="63" t="s">
        <v>6293</v>
      </c>
      <c r="C2870" s="79" t="s">
        <v>8937</v>
      </c>
    </row>
    <row r="2871" spans="1:3" ht="31.5" x14ac:dyDescent="0.25">
      <c r="A2871" s="62" t="s">
        <v>6294</v>
      </c>
      <c r="B2871" s="63" t="s">
        <v>6295</v>
      </c>
      <c r="C2871" s="79" t="s">
        <v>8937</v>
      </c>
    </row>
    <row r="2872" spans="1:3" ht="31.5" x14ac:dyDescent="0.25">
      <c r="A2872" s="62" t="s">
        <v>6296</v>
      </c>
      <c r="B2872" s="63" t="s">
        <v>6297</v>
      </c>
      <c r="C2872" s="79" t="s">
        <v>8937</v>
      </c>
    </row>
    <row r="2873" spans="1:3" ht="31.5" x14ac:dyDescent="0.25">
      <c r="A2873" s="62" t="s">
        <v>6298</v>
      </c>
      <c r="B2873" s="63" t="s">
        <v>6299</v>
      </c>
      <c r="C2873" s="79" t="s">
        <v>8937</v>
      </c>
    </row>
    <row r="2874" spans="1:3" ht="31.5" x14ac:dyDescent="0.25">
      <c r="A2874" s="62" t="s">
        <v>6300</v>
      </c>
      <c r="B2874" s="63" t="s">
        <v>6301</v>
      </c>
      <c r="C2874" s="79" t="s">
        <v>8937</v>
      </c>
    </row>
    <row r="2875" spans="1:3" ht="31.5" x14ac:dyDescent="0.25">
      <c r="A2875" s="62" t="s">
        <v>6302</v>
      </c>
      <c r="B2875" s="63" t="s">
        <v>6303</v>
      </c>
      <c r="C2875" s="79" t="s">
        <v>8937</v>
      </c>
    </row>
    <row r="2876" spans="1:3" ht="31.5" x14ac:dyDescent="0.25">
      <c r="A2876" s="62" t="s">
        <v>6304</v>
      </c>
      <c r="B2876" s="63" t="s">
        <v>6305</v>
      </c>
      <c r="C2876" s="79" t="s">
        <v>8937</v>
      </c>
    </row>
    <row r="2877" spans="1:3" ht="18" x14ac:dyDescent="0.25">
      <c r="A2877" s="182"/>
      <c r="B2877" s="182" t="s">
        <v>8938</v>
      </c>
      <c r="C2877" s="183"/>
    </row>
    <row r="2878" spans="1:3" ht="31.5" x14ac:dyDescent="0.25">
      <c r="A2878" s="62" t="s">
        <v>6306</v>
      </c>
      <c r="B2878" s="63" t="s">
        <v>6307</v>
      </c>
      <c r="C2878" s="79" t="s">
        <v>8936</v>
      </c>
    </row>
    <row r="2879" spans="1:3" ht="31.5" x14ac:dyDescent="0.25">
      <c r="A2879" s="62" t="s">
        <v>6308</v>
      </c>
      <c r="B2879" s="63" t="s">
        <v>6309</v>
      </c>
      <c r="C2879" s="79" t="s">
        <v>8936</v>
      </c>
    </row>
    <row r="2880" spans="1:3" ht="31.5" x14ac:dyDescent="0.25">
      <c r="A2880" s="62" t="s">
        <v>6310</v>
      </c>
      <c r="B2880" s="63" t="s">
        <v>6311</v>
      </c>
      <c r="C2880" s="79" t="s">
        <v>8936</v>
      </c>
    </row>
    <row r="2881" spans="1:3" ht="31.5" x14ac:dyDescent="0.25">
      <c r="A2881" s="62" t="s">
        <v>6312</v>
      </c>
      <c r="B2881" s="63" t="s">
        <v>6313</v>
      </c>
      <c r="C2881" s="79" t="s">
        <v>8936</v>
      </c>
    </row>
    <row r="2882" spans="1:3" ht="31.5" x14ac:dyDescent="0.25">
      <c r="A2882" s="62" t="s">
        <v>6314</v>
      </c>
      <c r="B2882" s="63" t="s">
        <v>6315</v>
      </c>
      <c r="C2882" s="79" t="s">
        <v>8936</v>
      </c>
    </row>
    <row r="2883" spans="1:3" ht="31.5" x14ac:dyDescent="0.25">
      <c r="A2883" s="62" t="s">
        <v>6316</v>
      </c>
      <c r="B2883" s="63" t="s">
        <v>6317</v>
      </c>
      <c r="C2883" s="79" t="s">
        <v>8936</v>
      </c>
    </row>
    <row r="2884" spans="1:3" ht="31.5" x14ac:dyDescent="0.25">
      <c r="A2884" s="62" t="s">
        <v>6318</v>
      </c>
      <c r="B2884" s="63" t="s">
        <v>6319</v>
      </c>
      <c r="C2884" s="79" t="s">
        <v>8936</v>
      </c>
    </row>
    <row r="2885" spans="1:3" ht="31.5" x14ac:dyDescent="0.25">
      <c r="A2885" s="62" t="s">
        <v>6320</v>
      </c>
      <c r="B2885" s="63" t="s">
        <v>6321</v>
      </c>
      <c r="C2885" s="79" t="s">
        <v>8936</v>
      </c>
    </row>
    <row r="2886" spans="1:3" ht="31.5" x14ac:dyDescent="0.25">
      <c r="A2886" s="62" t="s">
        <v>6322</v>
      </c>
      <c r="B2886" s="63" t="s">
        <v>6323</v>
      </c>
      <c r="C2886" s="79" t="s">
        <v>8936</v>
      </c>
    </row>
    <row r="2887" spans="1:3" ht="31.5" x14ac:dyDescent="0.25">
      <c r="A2887" s="62" t="s">
        <v>6324</v>
      </c>
      <c r="B2887" s="63" t="s">
        <v>6325</v>
      </c>
      <c r="C2887" s="79" t="s">
        <v>8936</v>
      </c>
    </row>
    <row r="2888" spans="1:3" ht="31.5" x14ac:dyDescent="0.25">
      <c r="A2888" s="62" t="s">
        <v>6326</v>
      </c>
      <c r="B2888" s="63" t="s">
        <v>6327</v>
      </c>
      <c r="C2888" s="79" t="s">
        <v>8925</v>
      </c>
    </row>
    <row r="2889" spans="1:3" ht="31.5" x14ac:dyDescent="0.25">
      <c r="A2889" s="62" t="s">
        <v>6328</v>
      </c>
      <c r="B2889" s="63" t="s">
        <v>6329</v>
      </c>
      <c r="C2889" s="79" t="s">
        <v>8925</v>
      </c>
    </row>
    <row r="2890" spans="1:3" ht="31.5" x14ac:dyDescent="0.25">
      <c r="A2890" s="62" t="s">
        <v>6330</v>
      </c>
      <c r="B2890" s="63" t="s">
        <v>6331</v>
      </c>
      <c r="C2890" s="79" t="s">
        <v>8925</v>
      </c>
    </row>
    <row r="2891" spans="1:3" ht="31.5" x14ac:dyDescent="0.25">
      <c r="A2891" s="62" t="s">
        <v>6332</v>
      </c>
      <c r="B2891" s="63" t="s">
        <v>6333</v>
      </c>
      <c r="C2891" s="79" t="s">
        <v>8925</v>
      </c>
    </row>
    <row r="2892" spans="1:3" ht="31.5" x14ac:dyDescent="0.25">
      <c r="A2892" s="62" t="s">
        <v>6334</v>
      </c>
      <c r="B2892" s="63" t="s">
        <v>6335</v>
      </c>
      <c r="C2892" s="79" t="s">
        <v>8925</v>
      </c>
    </row>
    <row r="2893" spans="1:3" ht="31.5" x14ac:dyDescent="0.25">
      <c r="A2893" s="62" t="s">
        <v>6336</v>
      </c>
      <c r="B2893" s="63" t="s">
        <v>6337</v>
      </c>
      <c r="C2893" s="79" t="s">
        <v>8936</v>
      </c>
    </row>
    <row r="2894" spans="1:3" ht="31.5" x14ac:dyDescent="0.25">
      <c r="A2894" s="62" t="s">
        <v>6338</v>
      </c>
      <c r="B2894" s="63" t="s">
        <v>6339</v>
      </c>
      <c r="C2894" s="79" t="s">
        <v>8936</v>
      </c>
    </row>
    <row r="2895" spans="1:3" ht="31.5" x14ac:dyDescent="0.25">
      <c r="A2895" s="62" t="s">
        <v>6340</v>
      </c>
      <c r="B2895" s="63" t="s">
        <v>6341</v>
      </c>
      <c r="C2895" s="79" t="s">
        <v>8936</v>
      </c>
    </row>
    <row r="2896" spans="1:3" ht="31.5" x14ac:dyDescent="0.25">
      <c r="A2896" s="62" t="s">
        <v>6342</v>
      </c>
      <c r="B2896" s="63" t="s">
        <v>6343</v>
      </c>
      <c r="C2896" s="79" t="s">
        <v>8936</v>
      </c>
    </row>
    <row r="2897" spans="1:3" ht="31.5" x14ac:dyDescent="0.25">
      <c r="A2897" s="62" t="s">
        <v>6344</v>
      </c>
      <c r="B2897" s="63" t="s">
        <v>6345</v>
      </c>
      <c r="C2897" s="79" t="s">
        <v>8936</v>
      </c>
    </row>
    <row r="2898" spans="1:3" ht="31.5" x14ac:dyDescent="0.25">
      <c r="A2898" s="62" t="s">
        <v>6346</v>
      </c>
      <c r="B2898" s="63" t="s">
        <v>6347</v>
      </c>
      <c r="C2898" s="79" t="s">
        <v>8937</v>
      </c>
    </row>
    <row r="2899" spans="1:3" ht="31.5" x14ac:dyDescent="0.25">
      <c r="A2899" s="62" t="s">
        <v>6348</v>
      </c>
      <c r="B2899" s="63" t="s">
        <v>6349</v>
      </c>
      <c r="C2899" s="79" t="s">
        <v>8937</v>
      </c>
    </row>
    <row r="2900" spans="1:3" ht="31.5" x14ac:dyDescent="0.25">
      <c r="A2900" s="62" t="s">
        <v>6350</v>
      </c>
      <c r="B2900" s="63" t="s">
        <v>6351</v>
      </c>
      <c r="C2900" s="79" t="s">
        <v>8937</v>
      </c>
    </row>
    <row r="2901" spans="1:3" ht="31.5" x14ac:dyDescent="0.25">
      <c r="A2901" s="62" t="s">
        <v>6352</v>
      </c>
      <c r="B2901" s="63" t="s">
        <v>6353</v>
      </c>
      <c r="C2901" s="79" t="s">
        <v>8937</v>
      </c>
    </row>
    <row r="2902" spans="1:3" ht="31.5" x14ac:dyDescent="0.25">
      <c r="A2902" s="62" t="s">
        <v>6354</v>
      </c>
      <c r="B2902" s="63" t="s">
        <v>6355</v>
      </c>
      <c r="C2902" s="79" t="s">
        <v>8937</v>
      </c>
    </row>
    <row r="2903" spans="1:3" ht="31.5" x14ac:dyDescent="0.25">
      <c r="A2903" s="62" t="s">
        <v>6356</v>
      </c>
      <c r="B2903" s="63" t="s">
        <v>6357</v>
      </c>
      <c r="C2903" s="79" t="s">
        <v>8937</v>
      </c>
    </row>
    <row r="2904" spans="1:3" ht="31.5" x14ac:dyDescent="0.25">
      <c r="A2904" s="62" t="s">
        <v>6358</v>
      </c>
      <c r="B2904" s="63" t="s">
        <v>6359</v>
      </c>
      <c r="C2904" s="79" t="s">
        <v>8937</v>
      </c>
    </row>
    <row r="2905" spans="1:3" ht="31.5" x14ac:dyDescent="0.25">
      <c r="A2905" s="62" t="s">
        <v>6360</v>
      </c>
      <c r="B2905" s="63" t="s">
        <v>6361</v>
      </c>
      <c r="C2905" s="79" t="s">
        <v>8937</v>
      </c>
    </row>
    <row r="2906" spans="1:3" ht="31.5" x14ac:dyDescent="0.25">
      <c r="A2906" s="62" t="s">
        <v>6362</v>
      </c>
      <c r="B2906" s="63" t="s">
        <v>6363</v>
      </c>
      <c r="C2906" s="79" t="s">
        <v>8937</v>
      </c>
    </row>
    <row r="2907" spans="1:3" ht="31.5" x14ac:dyDescent="0.25">
      <c r="A2907" s="62" t="s">
        <v>6364</v>
      </c>
      <c r="B2907" s="63" t="s">
        <v>6365</v>
      </c>
      <c r="C2907" s="79" t="s">
        <v>8937</v>
      </c>
    </row>
    <row r="2908" spans="1:3" ht="31.5" x14ac:dyDescent="0.25">
      <c r="A2908" s="62" t="s">
        <v>6366</v>
      </c>
      <c r="B2908" s="63" t="s">
        <v>6367</v>
      </c>
      <c r="C2908" s="79" t="s">
        <v>8936</v>
      </c>
    </row>
    <row r="2909" spans="1:3" ht="31.5" x14ac:dyDescent="0.25">
      <c r="A2909" s="62" t="s">
        <v>6368</v>
      </c>
      <c r="B2909" s="63" t="s">
        <v>6369</v>
      </c>
      <c r="C2909" s="79" t="s">
        <v>8936</v>
      </c>
    </row>
    <row r="2910" spans="1:3" ht="31.5" x14ac:dyDescent="0.25">
      <c r="A2910" s="62" t="s">
        <v>6370</v>
      </c>
      <c r="B2910" s="63" t="s">
        <v>6371</v>
      </c>
      <c r="C2910" s="79" t="s">
        <v>8936</v>
      </c>
    </row>
    <row r="2911" spans="1:3" ht="31.5" x14ac:dyDescent="0.25">
      <c r="A2911" s="62" t="s">
        <v>6372</v>
      </c>
      <c r="B2911" s="63" t="s">
        <v>6373</v>
      </c>
      <c r="C2911" s="79" t="s">
        <v>8936</v>
      </c>
    </row>
    <row r="2912" spans="1:3" ht="31.5" x14ac:dyDescent="0.25">
      <c r="A2912" s="62" t="s">
        <v>6374</v>
      </c>
      <c r="B2912" s="63" t="s">
        <v>6375</v>
      </c>
      <c r="C2912" s="79" t="s">
        <v>8936</v>
      </c>
    </row>
    <row r="2913" spans="1:3" ht="31.5" x14ac:dyDescent="0.25">
      <c r="A2913" s="62" t="s">
        <v>6376</v>
      </c>
      <c r="B2913" s="63" t="s">
        <v>6377</v>
      </c>
      <c r="C2913" s="79" t="s">
        <v>8936</v>
      </c>
    </row>
    <row r="2914" spans="1:3" ht="31.5" x14ac:dyDescent="0.25">
      <c r="A2914" s="62" t="s">
        <v>6378</v>
      </c>
      <c r="B2914" s="63" t="s">
        <v>6379</v>
      </c>
      <c r="C2914" s="79" t="s">
        <v>8936</v>
      </c>
    </row>
    <row r="2915" spans="1:3" ht="31.5" x14ac:dyDescent="0.25">
      <c r="A2915" s="62" t="s">
        <v>6380</v>
      </c>
      <c r="B2915" s="63" t="s">
        <v>6381</v>
      </c>
      <c r="C2915" s="79" t="s">
        <v>8936</v>
      </c>
    </row>
    <row r="2916" spans="1:3" ht="31.5" x14ac:dyDescent="0.25">
      <c r="A2916" s="62" t="s">
        <v>6382</v>
      </c>
      <c r="B2916" s="63" t="s">
        <v>6383</v>
      </c>
      <c r="C2916" s="79" t="s">
        <v>8936</v>
      </c>
    </row>
    <row r="2917" spans="1:3" ht="31.5" x14ac:dyDescent="0.25">
      <c r="A2917" s="62" t="s">
        <v>6384</v>
      </c>
      <c r="B2917" s="63" t="s">
        <v>6385</v>
      </c>
      <c r="C2917" s="79" t="s">
        <v>8936</v>
      </c>
    </row>
    <row r="2918" spans="1:3" ht="31.5" x14ac:dyDescent="0.25">
      <c r="A2918" s="62" t="s">
        <v>6386</v>
      </c>
      <c r="B2918" s="63" t="s">
        <v>6387</v>
      </c>
      <c r="C2918" s="79" t="s">
        <v>8925</v>
      </c>
    </row>
    <row r="2919" spans="1:3" ht="31.5" x14ac:dyDescent="0.25">
      <c r="A2919" s="62" t="s">
        <v>6388</v>
      </c>
      <c r="B2919" s="63" t="s">
        <v>6389</v>
      </c>
      <c r="C2919" s="79" t="s">
        <v>8925</v>
      </c>
    </row>
    <row r="2920" spans="1:3" ht="31.5" x14ac:dyDescent="0.25">
      <c r="A2920" s="62" t="s">
        <v>6390</v>
      </c>
      <c r="B2920" s="63" t="s">
        <v>6391</v>
      </c>
      <c r="C2920" s="79" t="s">
        <v>8925</v>
      </c>
    </row>
    <row r="2921" spans="1:3" ht="31.5" x14ac:dyDescent="0.25">
      <c r="A2921" s="62" t="s">
        <v>6392</v>
      </c>
      <c r="B2921" s="63" t="s">
        <v>6393</v>
      </c>
      <c r="C2921" s="79" t="s">
        <v>8925</v>
      </c>
    </row>
    <row r="2922" spans="1:3" ht="31.5" x14ac:dyDescent="0.25">
      <c r="A2922" s="62" t="s">
        <v>6394</v>
      </c>
      <c r="B2922" s="63" t="s">
        <v>6395</v>
      </c>
      <c r="C2922" s="79" t="s">
        <v>8925</v>
      </c>
    </row>
    <row r="2923" spans="1:3" ht="31.5" x14ac:dyDescent="0.25">
      <c r="A2923" s="62" t="s">
        <v>6396</v>
      </c>
      <c r="B2923" s="63" t="s">
        <v>6397</v>
      </c>
      <c r="C2923" s="79" t="s">
        <v>8936</v>
      </c>
    </row>
    <row r="2924" spans="1:3" ht="31.5" x14ac:dyDescent="0.25">
      <c r="A2924" s="62" t="s">
        <v>6398</v>
      </c>
      <c r="B2924" s="63" t="s">
        <v>6399</v>
      </c>
      <c r="C2924" s="79" t="s">
        <v>8936</v>
      </c>
    </row>
    <row r="2925" spans="1:3" ht="31.5" x14ac:dyDescent="0.25">
      <c r="A2925" s="62" t="s">
        <v>6400</v>
      </c>
      <c r="B2925" s="63" t="s">
        <v>6401</v>
      </c>
      <c r="C2925" s="79" t="s">
        <v>8936</v>
      </c>
    </row>
    <row r="2926" spans="1:3" ht="31.5" x14ac:dyDescent="0.25">
      <c r="A2926" s="62" t="s">
        <v>6402</v>
      </c>
      <c r="B2926" s="63" t="s">
        <v>6403</v>
      </c>
      <c r="C2926" s="79" t="s">
        <v>8936</v>
      </c>
    </row>
    <row r="2927" spans="1:3" ht="31.5" x14ac:dyDescent="0.25">
      <c r="A2927" s="62" t="s">
        <v>6404</v>
      </c>
      <c r="B2927" s="63" t="s">
        <v>6405</v>
      </c>
      <c r="C2927" s="79" t="s">
        <v>8936</v>
      </c>
    </row>
    <row r="2928" spans="1:3" ht="31.5" x14ac:dyDescent="0.25">
      <c r="A2928" s="62" t="s">
        <v>6406</v>
      </c>
      <c r="B2928" s="63" t="s">
        <v>6407</v>
      </c>
      <c r="C2928" s="79" t="s">
        <v>8937</v>
      </c>
    </row>
    <row r="2929" spans="1:3" ht="31.5" x14ac:dyDescent="0.25">
      <c r="A2929" s="62" t="s">
        <v>6408</v>
      </c>
      <c r="B2929" s="63" t="s">
        <v>6409</v>
      </c>
      <c r="C2929" s="79" t="s">
        <v>8937</v>
      </c>
    </row>
    <row r="2930" spans="1:3" ht="31.5" x14ac:dyDescent="0.25">
      <c r="A2930" s="62" t="s">
        <v>6410</v>
      </c>
      <c r="B2930" s="63" t="s">
        <v>6411</v>
      </c>
      <c r="C2930" s="79" t="s">
        <v>8937</v>
      </c>
    </row>
    <row r="2931" spans="1:3" ht="31.5" x14ac:dyDescent="0.25">
      <c r="A2931" s="62" t="s">
        <v>6412</v>
      </c>
      <c r="B2931" s="63" t="s">
        <v>6413</v>
      </c>
      <c r="C2931" s="79" t="s">
        <v>8937</v>
      </c>
    </row>
    <row r="2932" spans="1:3" ht="31.5" x14ac:dyDescent="0.25">
      <c r="A2932" s="62" t="s">
        <v>6414</v>
      </c>
      <c r="B2932" s="63" t="s">
        <v>6415</v>
      </c>
      <c r="C2932" s="79" t="s">
        <v>8937</v>
      </c>
    </row>
    <row r="2933" spans="1:3" ht="31.5" x14ac:dyDescent="0.25">
      <c r="A2933" s="62" t="s">
        <v>6416</v>
      </c>
      <c r="B2933" s="63" t="s">
        <v>6417</v>
      </c>
      <c r="C2933" s="79" t="s">
        <v>8937</v>
      </c>
    </row>
    <row r="2934" spans="1:3" ht="31.5" x14ac:dyDescent="0.25">
      <c r="A2934" s="62" t="s">
        <v>6418</v>
      </c>
      <c r="B2934" s="63" t="s">
        <v>6419</v>
      </c>
      <c r="C2934" s="79" t="s">
        <v>8937</v>
      </c>
    </row>
    <row r="2935" spans="1:3" ht="31.5" x14ac:dyDescent="0.25">
      <c r="A2935" s="62" t="s">
        <v>6420</v>
      </c>
      <c r="B2935" s="63" t="s">
        <v>6421</v>
      </c>
      <c r="C2935" s="79" t="s">
        <v>8937</v>
      </c>
    </row>
    <row r="2936" spans="1:3" ht="31.5" x14ac:dyDescent="0.25">
      <c r="A2936" s="62" t="s">
        <v>6422</v>
      </c>
      <c r="B2936" s="63" t="s">
        <v>6423</v>
      </c>
      <c r="C2936" s="79" t="s">
        <v>8937</v>
      </c>
    </row>
    <row r="2937" spans="1:3" ht="31.5" x14ac:dyDescent="0.25">
      <c r="A2937" s="62" t="s">
        <v>6424</v>
      </c>
      <c r="B2937" s="63" t="s">
        <v>6425</v>
      </c>
      <c r="C2937" s="79" t="s">
        <v>8937</v>
      </c>
    </row>
    <row r="2938" spans="1:3" ht="18" x14ac:dyDescent="0.25">
      <c r="A2938" s="182"/>
      <c r="B2938" s="182" t="s">
        <v>8939</v>
      </c>
      <c r="C2938" s="183"/>
    </row>
    <row r="2939" spans="1:3" ht="31.5" x14ac:dyDescent="0.25">
      <c r="A2939" s="62" t="s">
        <v>6426</v>
      </c>
      <c r="B2939" s="63" t="s">
        <v>6427</v>
      </c>
      <c r="C2939" s="79" t="s">
        <v>8523</v>
      </c>
    </row>
    <row r="2940" spans="1:3" ht="31.5" x14ac:dyDescent="0.25">
      <c r="A2940" s="62" t="s">
        <v>6428</v>
      </c>
      <c r="B2940" s="63" t="s">
        <v>6429</v>
      </c>
      <c r="C2940" s="79" t="s">
        <v>8529</v>
      </c>
    </row>
    <row r="2941" spans="1:3" ht="31.5" x14ac:dyDescent="0.25">
      <c r="A2941" s="62" t="s">
        <v>6430</v>
      </c>
      <c r="B2941" s="63" t="s">
        <v>6431</v>
      </c>
      <c r="C2941" s="79" t="s">
        <v>8523</v>
      </c>
    </row>
    <row r="2942" spans="1:3" ht="31.5" x14ac:dyDescent="0.25">
      <c r="A2942" s="62" t="s">
        <v>6432</v>
      </c>
      <c r="B2942" s="63" t="s">
        <v>6433</v>
      </c>
      <c r="C2942" s="79" t="s">
        <v>8529</v>
      </c>
    </row>
    <row r="2943" spans="1:3" ht="31.5" x14ac:dyDescent="0.25">
      <c r="A2943" s="62" t="s">
        <v>6434</v>
      </c>
      <c r="B2943" s="63" t="s">
        <v>6435</v>
      </c>
      <c r="C2943" s="79" t="s">
        <v>8523</v>
      </c>
    </row>
    <row r="2944" spans="1:3" ht="31.5" x14ac:dyDescent="0.25">
      <c r="A2944" s="62" t="s">
        <v>6436</v>
      </c>
      <c r="B2944" s="63" t="s">
        <v>6437</v>
      </c>
      <c r="C2944" s="79" t="s">
        <v>8529</v>
      </c>
    </row>
    <row r="2945" spans="1:3" ht="31.5" x14ac:dyDescent="0.25">
      <c r="A2945" s="62" t="s">
        <v>6438</v>
      </c>
      <c r="B2945" s="63" t="s">
        <v>6439</v>
      </c>
      <c r="C2945" s="79" t="s">
        <v>8523</v>
      </c>
    </row>
    <row r="2946" spans="1:3" ht="31.5" x14ac:dyDescent="0.25">
      <c r="A2946" s="62" t="s">
        <v>6440</v>
      </c>
      <c r="B2946" s="63" t="s">
        <v>6441</v>
      </c>
      <c r="C2946" s="79" t="s">
        <v>8529</v>
      </c>
    </row>
    <row r="2947" spans="1:3" ht="31.5" x14ac:dyDescent="0.25">
      <c r="A2947" s="62" t="s">
        <v>6442</v>
      </c>
      <c r="B2947" s="63" t="s">
        <v>6443</v>
      </c>
      <c r="C2947" s="79" t="s">
        <v>8523</v>
      </c>
    </row>
    <row r="2948" spans="1:3" ht="31.5" x14ac:dyDescent="0.25">
      <c r="A2948" s="62" t="s">
        <v>6444</v>
      </c>
      <c r="B2948" s="63" t="s">
        <v>6445</v>
      </c>
      <c r="C2948" s="79" t="s">
        <v>8529</v>
      </c>
    </row>
    <row r="2949" spans="1:3" ht="31.5" x14ac:dyDescent="0.25">
      <c r="A2949" s="62" t="s">
        <v>6446</v>
      </c>
      <c r="B2949" s="63" t="s">
        <v>6447</v>
      </c>
      <c r="C2949" s="79" t="s">
        <v>8523</v>
      </c>
    </row>
    <row r="2950" spans="1:3" ht="31.5" x14ac:dyDescent="0.25">
      <c r="A2950" s="62" t="s">
        <v>6448</v>
      </c>
      <c r="B2950" s="63" t="s">
        <v>6449</v>
      </c>
      <c r="C2950" s="79" t="s">
        <v>8529</v>
      </c>
    </row>
    <row r="2951" spans="1:3" ht="31.5" x14ac:dyDescent="0.25">
      <c r="A2951" s="62" t="s">
        <v>6450</v>
      </c>
      <c r="B2951" s="63" t="s">
        <v>6451</v>
      </c>
      <c r="C2951" s="79" t="s">
        <v>8523</v>
      </c>
    </row>
    <row r="2952" spans="1:3" ht="31.5" x14ac:dyDescent="0.25">
      <c r="A2952" s="62" t="s">
        <v>6452</v>
      </c>
      <c r="B2952" s="63" t="s">
        <v>6453</v>
      </c>
      <c r="C2952" s="79" t="s">
        <v>8529</v>
      </c>
    </row>
    <row r="2953" spans="1:3" ht="31.5" x14ac:dyDescent="0.25">
      <c r="A2953" s="62" t="s">
        <v>6454</v>
      </c>
      <c r="B2953" s="63" t="s">
        <v>6455</v>
      </c>
      <c r="C2953" s="79" t="s">
        <v>8523</v>
      </c>
    </row>
    <row r="2954" spans="1:3" ht="31.5" x14ac:dyDescent="0.25">
      <c r="A2954" s="62" t="s">
        <v>6456</v>
      </c>
      <c r="B2954" s="63" t="s">
        <v>6457</v>
      </c>
      <c r="C2954" s="79" t="s">
        <v>8529</v>
      </c>
    </row>
    <row r="2955" spans="1:3" ht="31.5" x14ac:dyDescent="0.25">
      <c r="A2955" s="62" t="s">
        <v>6458</v>
      </c>
      <c r="B2955" s="63" t="s">
        <v>6459</v>
      </c>
      <c r="C2955" s="79" t="s">
        <v>8523</v>
      </c>
    </row>
    <row r="2956" spans="1:3" ht="31.5" x14ac:dyDescent="0.25">
      <c r="A2956" s="62" t="s">
        <v>6460</v>
      </c>
      <c r="B2956" s="63" t="s">
        <v>6461</v>
      </c>
      <c r="C2956" s="79" t="s">
        <v>8529</v>
      </c>
    </row>
    <row r="2957" spans="1:3" ht="31.5" x14ac:dyDescent="0.25">
      <c r="A2957" s="62" t="s">
        <v>6462</v>
      </c>
      <c r="B2957" s="63" t="s">
        <v>6463</v>
      </c>
      <c r="C2957" s="79" t="s">
        <v>8523</v>
      </c>
    </row>
    <row r="2958" spans="1:3" ht="31.5" x14ac:dyDescent="0.25">
      <c r="A2958" s="62" t="s">
        <v>6464</v>
      </c>
      <c r="B2958" s="63" t="s">
        <v>6465</v>
      </c>
      <c r="C2958" s="79" t="s">
        <v>8529</v>
      </c>
    </row>
    <row r="2959" spans="1:3" ht="31.5" x14ac:dyDescent="0.25">
      <c r="A2959" s="62" t="s">
        <v>6466</v>
      </c>
      <c r="B2959" s="63" t="s">
        <v>6467</v>
      </c>
      <c r="C2959" s="79" t="s">
        <v>8940</v>
      </c>
    </row>
    <row r="2960" spans="1:3" ht="31.5" x14ac:dyDescent="0.25">
      <c r="A2960" s="62" t="s">
        <v>6468</v>
      </c>
      <c r="B2960" s="63" t="s">
        <v>6469</v>
      </c>
      <c r="C2960" s="79" t="s">
        <v>8578</v>
      </c>
    </row>
    <row r="2961" spans="1:3" ht="31.5" x14ac:dyDescent="0.25">
      <c r="A2961" s="62" t="s">
        <v>6470</v>
      </c>
      <c r="B2961" s="63" t="s">
        <v>6471</v>
      </c>
      <c r="C2961" s="79" t="s">
        <v>8940</v>
      </c>
    </row>
    <row r="2962" spans="1:3" ht="31.5" x14ac:dyDescent="0.25">
      <c r="A2962" s="62" t="s">
        <v>6472</v>
      </c>
      <c r="B2962" s="63" t="s">
        <v>6473</v>
      </c>
      <c r="C2962" s="79" t="s">
        <v>8578</v>
      </c>
    </row>
    <row r="2963" spans="1:3" ht="31.5" x14ac:dyDescent="0.25">
      <c r="A2963" s="62" t="s">
        <v>6474</v>
      </c>
      <c r="B2963" s="63" t="s">
        <v>6475</v>
      </c>
      <c r="C2963" s="79" t="s">
        <v>8940</v>
      </c>
    </row>
    <row r="2964" spans="1:3" ht="31.5" x14ac:dyDescent="0.25">
      <c r="A2964" s="62" t="s">
        <v>6476</v>
      </c>
      <c r="B2964" s="63" t="s">
        <v>6477</v>
      </c>
      <c r="C2964" s="79" t="s">
        <v>8578</v>
      </c>
    </row>
    <row r="2965" spans="1:3" ht="31.5" x14ac:dyDescent="0.25">
      <c r="A2965" s="62" t="s">
        <v>6478</v>
      </c>
      <c r="B2965" s="63" t="s">
        <v>6479</v>
      </c>
      <c r="C2965" s="79" t="s">
        <v>8940</v>
      </c>
    </row>
    <row r="2966" spans="1:3" ht="31.5" x14ac:dyDescent="0.25">
      <c r="A2966" s="62" t="s">
        <v>6480</v>
      </c>
      <c r="B2966" s="63" t="s">
        <v>6481</v>
      </c>
      <c r="C2966" s="79" t="s">
        <v>8578</v>
      </c>
    </row>
    <row r="2967" spans="1:3" ht="31.5" x14ac:dyDescent="0.25">
      <c r="A2967" s="62" t="s">
        <v>6482</v>
      </c>
      <c r="B2967" s="63" t="s">
        <v>6483</v>
      </c>
      <c r="C2967" s="79" t="s">
        <v>8940</v>
      </c>
    </row>
    <row r="2968" spans="1:3" ht="31.5" x14ac:dyDescent="0.25">
      <c r="A2968" s="62" t="s">
        <v>6484</v>
      </c>
      <c r="B2968" s="63" t="s">
        <v>6485</v>
      </c>
      <c r="C2968" s="79" t="s">
        <v>8578</v>
      </c>
    </row>
    <row r="2969" spans="1:3" ht="31.5" x14ac:dyDescent="0.25">
      <c r="A2969" s="62" t="s">
        <v>6486</v>
      </c>
      <c r="B2969" s="63" t="s">
        <v>6487</v>
      </c>
      <c r="C2969" s="79" t="s">
        <v>8756</v>
      </c>
    </row>
    <row r="2970" spans="1:3" ht="31.5" x14ac:dyDescent="0.25">
      <c r="A2970" s="62" t="s">
        <v>6488</v>
      </c>
      <c r="B2970" s="63" t="s">
        <v>6489</v>
      </c>
      <c r="C2970" s="79" t="s">
        <v>8609</v>
      </c>
    </row>
    <row r="2971" spans="1:3" ht="31.5" x14ac:dyDescent="0.25">
      <c r="A2971" s="62" t="s">
        <v>6490</v>
      </c>
      <c r="B2971" s="63" t="s">
        <v>6491</v>
      </c>
      <c r="C2971" s="79" t="s">
        <v>8756</v>
      </c>
    </row>
    <row r="2972" spans="1:3" ht="31.5" x14ac:dyDescent="0.25">
      <c r="A2972" s="62" t="s">
        <v>6492</v>
      </c>
      <c r="B2972" s="63" t="s">
        <v>6493</v>
      </c>
      <c r="C2972" s="79" t="s">
        <v>8609</v>
      </c>
    </row>
    <row r="2973" spans="1:3" ht="31.5" x14ac:dyDescent="0.25">
      <c r="A2973" s="62" t="s">
        <v>6494</v>
      </c>
      <c r="B2973" s="63" t="s">
        <v>6495</v>
      </c>
      <c r="C2973" s="79" t="s">
        <v>8756</v>
      </c>
    </row>
    <row r="2974" spans="1:3" ht="31.5" x14ac:dyDescent="0.25">
      <c r="A2974" s="62" t="s">
        <v>6496</v>
      </c>
      <c r="B2974" s="63" t="s">
        <v>6497</v>
      </c>
      <c r="C2974" s="79" t="s">
        <v>8609</v>
      </c>
    </row>
    <row r="2975" spans="1:3" ht="31.5" x14ac:dyDescent="0.25">
      <c r="A2975" s="62" t="s">
        <v>6498</v>
      </c>
      <c r="B2975" s="63" t="s">
        <v>6499</v>
      </c>
      <c r="C2975" s="79" t="s">
        <v>8756</v>
      </c>
    </row>
    <row r="2976" spans="1:3" ht="31.5" x14ac:dyDescent="0.25">
      <c r="A2976" s="62" t="s">
        <v>6500</v>
      </c>
      <c r="B2976" s="63" t="s">
        <v>6501</v>
      </c>
      <c r="C2976" s="79" t="s">
        <v>8609</v>
      </c>
    </row>
    <row r="2977" spans="1:3" ht="31.5" x14ac:dyDescent="0.25">
      <c r="A2977" s="62" t="s">
        <v>6502</v>
      </c>
      <c r="B2977" s="63" t="s">
        <v>6503</v>
      </c>
      <c r="C2977" s="79" t="s">
        <v>8756</v>
      </c>
    </row>
    <row r="2978" spans="1:3" ht="31.5" x14ac:dyDescent="0.25">
      <c r="A2978" s="62" t="s">
        <v>6504</v>
      </c>
      <c r="B2978" s="63" t="s">
        <v>6505</v>
      </c>
      <c r="C2978" s="79" t="s">
        <v>8609</v>
      </c>
    </row>
    <row r="2979" spans="1:3" ht="31.5" x14ac:dyDescent="0.25">
      <c r="A2979" s="62" t="s">
        <v>6506</v>
      </c>
      <c r="B2979" s="63" t="s">
        <v>6507</v>
      </c>
      <c r="C2979" s="79" t="s">
        <v>8350</v>
      </c>
    </row>
    <row r="2980" spans="1:3" ht="31.5" x14ac:dyDescent="0.25">
      <c r="A2980" s="62" t="s">
        <v>6508</v>
      </c>
      <c r="B2980" s="63" t="s">
        <v>6509</v>
      </c>
      <c r="C2980" s="79" t="s">
        <v>8941</v>
      </c>
    </row>
    <row r="2981" spans="1:3" ht="31.5" x14ac:dyDescent="0.25">
      <c r="A2981" s="62" t="s">
        <v>6510</v>
      </c>
      <c r="B2981" s="63" t="s">
        <v>6511</v>
      </c>
      <c r="C2981" s="79" t="s">
        <v>8350</v>
      </c>
    </row>
    <row r="2982" spans="1:3" ht="31.5" x14ac:dyDescent="0.25">
      <c r="A2982" s="62" t="s">
        <v>6512</v>
      </c>
      <c r="B2982" s="63" t="s">
        <v>6513</v>
      </c>
      <c r="C2982" s="79" t="s">
        <v>8941</v>
      </c>
    </row>
    <row r="2983" spans="1:3" ht="31.5" x14ac:dyDescent="0.25">
      <c r="A2983" s="62" t="s">
        <v>6514</v>
      </c>
      <c r="B2983" s="63" t="s">
        <v>6515</v>
      </c>
      <c r="C2983" s="79" t="s">
        <v>8350</v>
      </c>
    </row>
    <row r="2984" spans="1:3" ht="31.5" x14ac:dyDescent="0.25">
      <c r="A2984" s="62" t="s">
        <v>6516</v>
      </c>
      <c r="B2984" s="63" t="s">
        <v>6517</v>
      </c>
      <c r="C2984" s="79" t="s">
        <v>8941</v>
      </c>
    </row>
    <row r="2985" spans="1:3" ht="31.5" x14ac:dyDescent="0.25">
      <c r="A2985" s="62" t="s">
        <v>6518</v>
      </c>
      <c r="B2985" s="63" t="s">
        <v>6519</v>
      </c>
      <c r="C2985" s="79" t="s">
        <v>8350</v>
      </c>
    </row>
    <row r="2986" spans="1:3" ht="31.5" x14ac:dyDescent="0.25">
      <c r="A2986" s="62" t="s">
        <v>6520</v>
      </c>
      <c r="B2986" s="63" t="s">
        <v>6521</v>
      </c>
      <c r="C2986" s="79" t="s">
        <v>8941</v>
      </c>
    </row>
    <row r="2987" spans="1:3" ht="31.5" x14ac:dyDescent="0.25">
      <c r="A2987" s="62" t="s">
        <v>6522</v>
      </c>
      <c r="B2987" s="63" t="s">
        <v>6523</v>
      </c>
      <c r="C2987" s="79" t="s">
        <v>8350</v>
      </c>
    </row>
    <row r="2988" spans="1:3" ht="31.5" x14ac:dyDescent="0.25">
      <c r="A2988" s="62" t="s">
        <v>6524</v>
      </c>
      <c r="B2988" s="63" t="s">
        <v>6525</v>
      </c>
      <c r="C2988" s="79" t="s">
        <v>8941</v>
      </c>
    </row>
    <row r="2989" spans="1:3" ht="31.5" x14ac:dyDescent="0.25">
      <c r="A2989" s="62" t="s">
        <v>6526</v>
      </c>
      <c r="B2989" s="63" t="s">
        <v>6527</v>
      </c>
      <c r="C2989" s="79" t="s">
        <v>8350</v>
      </c>
    </row>
    <row r="2990" spans="1:3" ht="31.5" x14ac:dyDescent="0.25">
      <c r="A2990" s="62" t="s">
        <v>6528</v>
      </c>
      <c r="B2990" s="63" t="s">
        <v>6529</v>
      </c>
      <c r="C2990" s="79" t="s">
        <v>8941</v>
      </c>
    </row>
    <row r="2991" spans="1:3" ht="31.5" x14ac:dyDescent="0.25">
      <c r="A2991" s="62" t="s">
        <v>6530</v>
      </c>
      <c r="B2991" s="63" t="s">
        <v>6531</v>
      </c>
      <c r="C2991" s="79" t="s">
        <v>8350</v>
      </c>
    </row>
    <row r="2992" spans="1:3" ht="31.5" x14ac:dyDescent="0.25">
      <c r="A2992" s="62" t="s">
        <v>6532</v>
      </c>
      <c r="B2992" s="63" t="s">
        <v>6533</v>
      </c>
      <c r="C2992" s="79" t="s">
        <v>8941</v>
      </c>
    </row>
    <row r="2993" spans="1:3" ht="31.5" x14ac:dyDescent="0.25">
      <c r="A2993" s="62" t="s">
        <v>6534</v>
      </c>
      <c r="B2993" s="63" t="s">
        <v>6535</v>
      </c>
      <c r="C2993" s="79" t="s">
        <v>8350</v>
      </c>
    </row>
    <row r="2994" spans="1:3" ht="31.5" x14ac:dyDescent="0.25">
      <c r="A2994" s="62" t="s">
        <v>6536</v>
      </c>
      <c r="B2994" s="63" t="s">
        <v>6537</v>
      </c>
      <c r="C2994" s="79" t="s">
        <v>8941</v>
      </c>
    </row>
    <row r="2995" spans="1:3" ht="31.5" x14ac:dyDescent="0.25">
      <c r="A2995" s="62" t="s">
        <v>6538</v>
      </c>
      <c r="B2995" s="63" t="s">
        <v>6539</v>
      </c>
      <c r="C2995" s="79" t="s">
        <v>8350</v>
      </c>
    </row>
    <row r="2996" spans="1:3" ht="31.5" x14ac:dyDescent="0.25">
      <c r="A2996" s="62" t="s">
        <v>6540</v>
      </c>
      <c r="B2996" s="63" t="s">
        <v>6541</v>
      </c>
      <c r="C2996" s="79" t="s">
        <v>8941</v>
      </c>
    </row>
    <row r="2997" spans="1:3" ht="31.5" x14ac:dyDescent="0.25">
      <c r="A2997" s="62" t="s">
        <v>6542</v>
      </c>
      <c r="B2997" s="63" t="s">
        <v>6543</v>
      </c>
      <c r="C2997" s="79" t="s">
        <v>8350</v>
      </c>
    </row>
    <row r="2998" spans="1:3" ht="31.5" x14ac:dyDescent="0.25">
      <c r="A2998" s="62" t="s">
        <v>6544</v>
      </c>
      <c r="B2998" s="63" t="s">
        <v>6545</v>
      </c>
      <c r="C2998" s="79" t="s">
        <v>8941</v>
      </c>
    </row>
    <row r="2999" spans="1:3" ht="18" x14ac:dyDescent="0.25">
      <c r="A2999" s="182"/>
      <c r="B2999" s="182" t="s">
        <v>8942</v>
      </c>
      <c r="C2999" s="183"/>
    </row>
    <row r="3000" spans="1:3" ht="31.5" x14ac:dyDescent="0.25">
      <c r="A3000" s="62" t="s">
        <v>6546</v>
      </c>
      <c r="B3000" s="63" t="s">
        <v>6547</v>
      </c>
      <c r="C3000" s="79" t="s">
        <v>8523</v>
      </c>
    </row>
    <row r="3001" spans="1:3" ht="31.5" x14ac:dyDescent="0.25">
      <c r="A3001" s="62" t="s">
        <v>6548</v>
      </c>
      <c r="B3001" s="63" t="s">
        <v>6549</v>
      </c>
      <c r="C3001" s="79" t="s">
        <v>8529</v>
      </c>
    </row>
    <row r="3002" spans="1:3" ht="31.5" x14ac:dyDescent="0.25">
      <c r="A3002" s="62" t="s">
        <v>6550</v>
      </c>
      <c r="B3002" s="63" t="s">
        <v>6551</v>
      </c>
      <c r="C3002" s="79" t="s">
        <v>8523</v>
      </c>
    </row>
    <row r="3003" spans="1:3" ht="31.5" x14ac:dyDescent="0.25">
      <c r="A3003" s="62" t="s">
        <v>6552</v>
      </c>
      <c r="B3003" s="63" t="s">
        <v>6553</v>
      </c>
      <c r="C3003" s="79" t="s">
        <v>8529</v>
      </c>
    </row>
    <row r="3004" spans="1:3" ht="31.5" x14ac:dyDescent="0.25">
      <c r="A3004" s="62" t="s">
        <v>6554</v>
      </c>
      <c r="B3004" s="63" t="s">
        <v>6555</v>
      </c>
      <c r="C3004" s="79" t="s">
        <v>8523</v>
      </c>
    </row>
    <row r="3005" spans="1:3" ht="31.5" x14ac:dyDescent="0.25">
      <c r="A3005" s="62" t="s">
        <v>6556</v>
      </c>
      <c r="B3005" s="63" t="s">
        <v>6557</v>
      </c>
      <c r="C3005" s="79" t="s">
        <v>8529</v>
      </c>
    </row>
    <row r="3006" spans="1:3" ht="31.5" x14ac:dyDescent="0.25">
      <c r="A3006" s="62" t="s">
        <v>6558</v>
      </c>
      <c r="B3006" s="63" t="s">
        <v>6559</v>
      </c>
      <c r="C3006" s="79" t="s">
        <v>8523</v>
      </c>
    </row>
    <row r="3007" spans="1:3" ht="31.5" x14ac:dyDescent="0.25">
      <c r="A3007" s="62" t="s">
        <v>6560</v>
      </c>
      <c r="B3007" s="63" t="s">
        <v>6561</v>
      </c>
      <c r="C3007" s="79" t="s">
        <v>8529</v>
      </c>
    </row>
    <row r="3008" spans="1:3" ht="31.5" x14ac:dyDescent="0.25">
      <c r="A3008" s="62" t="s">
        <v>6562</v>
      </c>
      <c r="B3008" s="63" t="s">
        <v>6563</v>
      </c>
      <c r="C3008" s="79" t="s">
        <v>8523</v>
      </c>
    </row>
    <row r="3009" spans="1:3" ht="31.5" x14ac:dyDescent="0.25">
      <c r="A3009" s="62" t="s">
        <v>6564</v>
      </c>
      <c r="B3009" s="63" t="s">
        <v>6565</v>
      </c>
      <c r="C3009" s="79" t="s">
        <v>8529</v>
      </c>
    </row>
    <row r="3010" spans="1:3" ht="31.5" x14ac:dyDescent="0.25">
      <c r="A3010" s="62" t="s">
        <v>6566</v>
      </c>
      <c r="B3010" s="63" t="s">
        <v>6567</v>
      </c>
      <c r="C3010" s="79" t="s">
        <v>8523</v>
      </c>
    </row>
    <row r="3011" spans="1:3" ht="31.5" x14ac:dyDescent="0.25">
      <c r="A3011" s="62" t="s">
        <v>6568</v>
      </c>
      <c r="B3011" s="63" t="s">
        <v>6569</v>
      </c>
      <c r="C3011" s="79" t="s">
        <v>8529</v>
      </c>
    </row>
    <row r="3012" spans="1:3" ht="31.5" x14ac:dyDescent="0.25">
      <c r="A3012" s="62" t="s">
        <v>6570</v>
      </c>
      <c r="B3012" s="63" t="s">
        <v>6571</v>
      </c>
      <c r="C3012" s="79" t="s">
        <v>8523</v>
      </c>
    </row>
    <row r="3013" spans="1:3" ht="31.5" x14ac:dyDescent="0.25">
      <c r="A3013" s="62" t="s">
        <v>6572</v>
      </c>
      <c r="B3013" s="63" t="s">
        <v>6573</v>
      </c>
      <c r="C3013" s="79" t="s">
        <v>8529</v>
      </c>
    </row>
    <row r="3014" spans="1:3" ht="31.5" x14ac:dyDescent="0.25">
      <c r="A3014" s="62" t="s">
        <v>6574</v>
      </c>
      <c r="B3014" s="63" t="s">
        <v>6575</v>
      </c>
      <c r="C3014" s="79" t="s">
        <v>8523</v>
      </c>
    </row>
    <row r="3015" spans="1:3" ht="31.5" x14ac:dyDescent="0.25">
      <c r="A3015" s="62" t="s">
        <v>6576</v>
      </c>
      <c r="B3015" s="63" t="s">
        <v>6577</v>
      </c>
      <c r="C3015" s="79" t="s">
        <v>8529</v>
      </c>
    </row>
    <row r="3016" spans="1:3" ht="31.5" x14ac:dyDescent="0.25">
      <c r="A3016" s="62" t="s">
        <v>6578</v>
      </c>
      <c r="B3016" s="63" t="s">
        <v>6579</v>
      </c>
      <c r="C3016" s="79" t="s">
        <v>8523</v>
      </c>
    </row>
    <row r="3017" spans="1:3" ht="31.5" x14ac:dyDescent="0.25">
      <c r="A3017" s="62" t="s">
        <v>6580</v>
      </c>
      <c r="B3017" s="63" t="s">
        <v>6581</v>
      </c>
      <c r="C3017" s="79" t="s">
        <v>8529</v>
      </c>
    </row>
    <row r="3018" spans="1:3" ht="31.5" x14ac:dyDescent="0.25">
      <c r="A3018" s="62" t="s">
        <v>6582</v>
      </c>
      <c r="B3018" s="63" t="s">
        <v>6583</v>
      </c>
      <c r="C3018" s="79" t="s">
        <v>8523</v>
      </c>
    </row>
    <row r="3019" spans="1:3" ht="31.5" x14ac:dyDescent="0.25">
      <c r="A3019" s="62" t="s">
        <v>6584</v>
      </c>
      <c r="B3019" s="63" t="s">
        <v>6585</v>
      </c>
      <c r="C3019" s="79" t="s">
        <v>8529</v>
      </c>
    </row>
    <row r="3020" spans="1:3" ht="31.5" x14ac:dyDescent="0.25">
      <c r="A3020" s="62" t="s">
        <v>6586</v>
      </c>
      <c r="B3020" s="63" t="s">
        <v>6587</v>
      </c>
      <c r="C3020" s="79" t="s">
        <v>8940</v>
      </c>
    </row>
    <row r="3021" spans="1:3" ht="31.5" x14ac:dyDescent="0.25">
      <c r="A3021" s="62" t="s">
        <v>6588</v>
      </c>
      <c r="B3021" s="63" t="s">
        <v>6589</v>
      </c>
      <c r="C3021" s="79" t="s">
        <v>8578</v>
      </c>
    </row>
    <row r="3022" spans="1:3" ht="31.5" x14ac:dyDescent="0.25">
      <c r="A3022" s="62" t="s">
        <v>6590</v>
      </c>
      <c r="B3022" s="63" t="s">
        <v>6591</v>
      </c>
      <c r="C3022" s="79" t="s">
        <v>8940</v>
      </c>
    </row>
    <row r="3023" spans="1:3" ht="31.5" x14ac:dyDescent="0.25">
      <c r="A3023" s="62" t="s">
        <v>6592</v>
      </c>
      <c r="B3023" s="63" t="s">
        <v>6593</v>
      </c>
      <c r="C3023" s="79" t="s">
        <v>8578</v>
      </c>
    </row>
    <row r="3024" spans="1:3" ht="31.5" x14ac:dyDescent="0.25">
      <c r="A3024" s="62" t="s">
        <v>6594</v>
      </c>
      <c r="B3024" s="63" t="s">
        <v>6595</v>
      </c>
      <c r="C3024" s="79" t="s">
        <v>8940</v>
      </c>
    </row>
    <row r="3025" spans="1:3" ht="31.5" x14ac:dyDescent="0.25">
      <c r="A3025" s="62" t="s">
        <v>6596</v>
      </c>
      <c r="B3025" s="63" t="s">
        <v>6597</v>
      </c>
      <c r="C3025" s="79" t="s">
        <v>8578</v>
      </c>
    </row>
    <row r="3026" spans="1:3" ht="31.5" x14ac:dyDescent="0.25">
      <c r="A3026" s="62" t="s">
        <v>6598</v>
      </c>
      <c r="B3026" s="63" t="s">
        <v>6599</v>
      </c>
      <c r="C3026" s="79" t="s">
        <v>8940</v>
      </c>
    </row>
    <row r="3027" spans="1:3" ht="31.5" x14ac:dyDescent="0.25">
      <c r="A3027" s="62" t="s">
        <v>6600</v>
      </c>
      <c r="B3027" s="63" t="s">
        <v>6601</v>
      </c>
      <c r="C3027" s="79" t="s">
        <v>8578</v>
      </c>
    </row>
    <row r="3028" spans="1:3" ht="31.5" x14ac:dyDescent="0.25">
      <c r="A3028" s="62" t="s">
        <v>6602</v>
      </c>
      <c r="B3028" s="63" t="s">
        <v>6603</v>
      </c>
      <c r="C3028" s="79" t="s">
        <v>8940</v>
      </c>
    </row>
    <row r="3029" spans="1:3" ht="31.5" x14ac:dyDescent="0.25">
      <c r="A3029" s="62" t="s">
        <v>6604</v>
      </c>
      <c r="B3029" s="63" t="s">
        <v>6605</v>
      </c>
      <c r="C3029" s="79" t="s">
        <v>8578</v>
      </c>
    </row>
    <row r="3030" spans="1:3" ht="31.5" x14ac:dyDescent="0.25">
      <c r="A3030" s="62" t="s">
        <v>6606</v>
      </c>
      <c r="B3030" s="63" t="s">
        <v>6607</v>
      </c>
      <c r="C3030" s="79" t="s">
        <v>8756</v>
      </c>
    </row>
    <row r="3031" spans="1:3" ht="31.5" x14ac:dyDescent="0.25">
      <c r="A3031" s="62" t="s">
        <v>6608</v>
      </c>
      <c r="B3031" s="63" t="s">
        <v>6609</v>
      </c>
      <c r="C3031" s="79" t="s">
        <v>8609</v>
      </c>
    </row>
    <row r="3032" spans="1:3" ht="31.5" x14ac:dyDescent="0.25">
      <c r="A3032" s="62" t="s">
        <v>6610</v>
      </c>
      <c r="B3032" s="63" t="s">
        <v>6611</v>
      </c>
      <c r="C3032" s="79" t="s">
        <v>8756</v>
      </c>
    </row>
    <row r="3033" spans="1:3" ht="31.5" x14ac:dyDescent="0.25">
      <c r="A3033" s="62" t="s">
        <v>6612</v>
      </c>
      <c r="B3033" s="63" t="s">
        <v>6613</v>
      </c>
      <c r="C3033" s="79" t="s">
        <v>8609</v>
      </c>
    </row>
    <row r="3034" spans="1:3" ht="31.5" x14ac:dyDescent="0.25">
      <c r="A3034" s="62" t="s">
        <v>6614</v>
      </c>
      <c r="B3034" s="63" t="s">
        <v>6615</v>
      </c>
      <c r="C3034" s="79" t="s">
        <v>8756</v>
      </c>
    </row>
    <row r="3035" spans="1:3" ht="31.5" x14ac:dyDescent="0.25">
      <c r="A3035" s="62" t="s">
        <v>6616</v>
      </c>
      <c r="B3035" s="63" t="s">
        <v>6617</v>
      </c>
      <c r="C3035" s="79" t="s">
        <v>8609</v>
      </c>
    </row>
    <row r="3036" spans="1:3" ht="31.5" x14ac:dyDescent="0.25">
      <c r="A3036" s="62" t="s">
        <v>6618</v>
      </c>
      <c r="B3036" s="63" t="s">
        <v>6619</v>
      </c>
      <c r="C3036" s="79" t="s">
        <v>8756</v>
      </c>
    </row>
    <row r="3037" spans="1:3" ht="31.5" x14ac:dyDescent="0.25">
      <c r="A3037" s="62" t="s">
        <v>6620</v>
      </c>
      <c r="B3037" s="63" t="s">
        <v>6621</v>
      </c>
      <c r="C3037" s="79" t="s">
        <v>8609</v>
      </c>
    </row>
    <row r="3038" spans="1:3" ht="31.5" x14ac:dyDescent="0.25">
      <c r="A3038" s="62" t="s">
        <v>6622</v>
      </c>
      <c r="B3038" s="63" t="s">
        <v>6623</v>
      </c>
      <c r="C3038" s="79" t="s">
        <v>8756</v>
      </c>
    </row>
    <row r="3039" spans="1:3" ht="31.5" x14ac:dyDescent="0.25">
      <c r="A3039" s="62" t="s">
        <v>6624</v>
      </c>
      <c r="B3039" s="63" t="s">
        <v>6625</v>
      </c>
      <c r="C3039" s="79" t="s">
        <v>8609</v>
      </c>
    </row>
    <row r="3040" spans="1:3" ht="31.5" x14ac:dyDescent="0.25">
      <c r="A3040" s="62" t="s">
        <v>6626</v>
      </c>
      <c r="B3040" s="63" t="s">
        <v>6627</v>
      </c>
      <c r="C3040" s="79" t="s">
        <v>8350</v>
      </c>
    </row>
    <row r="3041" spans="1:3" ht="31.5" x14ac:dyDescent="0.25">
      <c r="A3041" s="62" t="s">
        <v>6628</v>
      </c>
      <c r="B3041" s="63" t="s">
        <v>6629</v>
      </c>
      <c r="C3041" s="79" t="s">
        <v>8941</v>
      </c>
    </row>
    <row r="3042" spans="1:3" ht="31.5" x14ac:dyDescent="0.25">
      <c r="A3042" s="62" t="s">
        <v>6630</v>
      </c>
      <c r="B3042" s="63" t="s">
        <v>6631</v>
      </c>
      <c r="C3042" s="79" t="s">
        <v>8350</v>
      </c>
    </row>
    <row r="3043" spans="1:3" ht="31.5" x14ac:dyDescent="0.25">
      <c r="A3043" s="62" t="s">
        <v>6632</v>
      </c>
      <c r="B3043" s="63" t="s">
        <v>6633</v>
      </c>
      <c r="C3043" s="79" t="s">
        <v>8941</v>
      </c>
    </row>
    <row r="3044" spans="1:3" ht="31.5" x14ac:dyDescent="0.25">
      <c r="A3044" s="62" t="s">
        <v>6634</v>
      </c>
      <c r="B3044" s="63" t="s">
        <v>6635</v>
      </c>
      <c r="C3044" s="79" t="s">
        <v>8350</v>
      </c>
    </row>
    <row r="3045" spans="1:3" ht="31.5" x14ac:dyDescent="0.25">
      <c r="A3045" s="62" t="s">
        <v>6636</v>
      </c>
      <c r="B3045" s="63" t="s">
        <v>6637</v>
      </c>
      <c r="C3045" s="79" t="s">
        <v>8941</v>
      </c>
    </row>
    <row r="3046" spans="1:3" ht="31.5" x14ac:dyDescent="0.25">
      <c r="A3046" s="62" t="s">
        <v>6638</v>
      </c>
      <c r="B3046" s="63" t="s">
        <v>6639</v>
      </c>
      <c r="C3046" s="79" t="s">
        <v>8350</v>
      </c>
    </row>
    <row r="3047" spans="1:3" ht="31.5" x14ac:dyDescent="0.25">
      <c r="A3047" s="62" t="s">
        <v>6640</v>
      </c>
      <c r="B3047" s="63" t="s">
        <v>6641</v>
      </c>
      <c r="C3047" s="79" t="s">
        <v>8941</v>
      </c>
    </row>
    <row r="3048" spans="1:3" ht="31.5" x14ac:dyDescent="0.25">
      <c r="A3048" s="62" t="s">
        <v>6642</v>
      </c>
      <c r="B3048" s="63" t="s">
        <v>6643</v>
      </c>
      <c r="C3048" s="79" t="s">
        <v>8350</v>
      </c>
    </row>
    <row r="3049" spans="1:3" ht="31.5" x14ac:dyDescent="0.25">
      <c r="A3049" s="62" t="s">
        <v>6644</v>
      </c>
      <c r="B3049" s="63" t="s">
        <v>6645</v>
      </c>
      <c r="C3049" s="79" t="s">
        <v>8941</v>
      </c>
    </row>
    <row r="3050" spans="1:3" ht="31.5" x14ac:dyDescent="0.25">
      <c r="A3050" s="62" t="s">
        <v>6646</v>
      </c>
      <c r="B3050" s="63" t="s">
        <v>6647</v>
      </c>
      <c r="C3050" s="79" t="s">
        <v>8350</v>
      </c>
    </row>
    <row r="3051" spans="1:3" ht="31.5" x14ac:dyDescent="0.25">
      <c r="A3051" s="62" t="s">
        <v>6648</v>
      </c>
      <c r="B3051" s="63" t="s">
        <v>6649</v>
      </c>
      <c r="C3051" s="79" t="s">
        <v>8941</v>
      </c>
    </row>
    <row r="3052" spans="1:3" ht="31.5" x14ac:dyDescent="0.25">
      <c r="A3052" s="62" t="s">
        <v>6650</v>
      </c>
      <c r="B3052" s="63" t="s">
        <v>6651</v>
      </c>
      <c r="C3052" s="79" t="s">
        <v>8350</v>
      </c>
    </row>
    <row r="3053" spans="1:3" ht="31.5" x14ac:dyDescent="0.25">
      <c r="A3053" s="62" t="s">
        <v>6652</v>
      </c>
      <c r="B3053" s="63" t="s">
        <v>6653</v>
      </c>
      <c r="C3053" s="79" t="s">
        <v>8941</v>
      </c>
    </row>
    <row r="3054" spans="1:3" ht="31.5" x14ac:dyDescent="0.25">
      <c r="A3054" s="62" t="s">
        <v>6654</v>
      </c>
      <c r="B3054" s="63" t="s">
        <v>6655</v>
      </c>
      <c r="C3054" s="79" t="s">
        <v>8350</v>
      </c>
    </row>
    <row r="3055" spans="1:3" ht="31.5" x14ac:dyDescent="0.25">
      <c r="A3055" s="62" t="s">
        <v>6656</v>
      </c>
      <c r="B3055" s="63" t="s">
        <v>6657</v>
      </c>
      <c r="C3055" s="79" t="s">
        <v>8941</v>
      </c>
    </row>
    <row r="3056" spans="1:3" ht="31.5" x14ac:dyDescent="0.25">
      <c r="A3056" s="62" t="s">
        <v>6658</v>
      </c>
      <c r="B3056" s="63" t="s">
        <v>6659</v>
      </c>
      <c r="C3056" s="79" t="s">
        <v>8350</v>
      </c>
    </row>
    <row r="3057" spans="1:3" ht="31.5" x14ac:dyDescent="0.25">
      <c r="A3057" s="62" t="s">
        <v>6660</v>
      </c>
      <c r="B3057" s="63" t="s">
        <v>6661</v>
      </c>
      <c r="C3057" s="79" t="s">
        <v>8941</v>
      </c>
    </row>
    <row r="3058" spans="1:3" ht="31.5" x14ac:dyDescent="0.25">
      <c r="A3058" s="62" t="s">
        <v>6662</v>
      </c>
      <c r="B3058" s="63" t="s">
        <v>6663</v>
      </c>
      <c r="C3058" s="79" t="s">
        <v>8350</v>
      </c>
    </row>
    <row r="3059" spans="1:3" ht="31.5" x14ac:dyDescent="0.25">
      <c r="A3059" s="62" t="s">
        <v>6664</v>
      </c>
      <c r="B3059" s="63" t="s">
        <v>6665</v>
      </c>
      <c r="C3059" s="79" t="s">
        <v>8941</v>
      </c>
    </row>
    <row r="3060" spans="1:3" ht="18" x14ac:dyDescent="0.25">
      <c r="A3060" s="182"/>
      <c r="B3060" s="182" t="s">
        <v>8943</v>
      </c>
      <c r="C3060" s="183"/>
    </row>
    <row r="3061" spans="1:3" ht="31.5" x14ac:dyDescent="0.25">
      <c r="A3061" s="62" t="s">
        <v>6666</v>
      </c>
      <c r="B3061" s="63" t="s">
        <v>6667</v>
      </c>
      <c r="C3061" s="79" t="s">
        <v>8523</v>
      </c>
    </row>
    <row r="3062" spans="1:3" ht="31.5" x14ac:dyDescent="0.25">
      <c r="A3062" s="62" t="s">
        <v>6668</v>
      </c>
      <c r="B3062" s="63" t="s">
        <v>6669</v>
      </c>
      <c r="C3062" s="79" t="s">
        <v>8350</v>
      </c>
    </row>
    <row r="3063" spans="1:3" ht="31.5" x14ac:dyDescent="0.25">
      <c r="A3063" s="62" t="s">
        <v>6670</v>
      </c>
      <c r="B3063" s="63" t="s">
        <v>6671</v>
      </c>
      <c r="C3063" s="79" t="s">
        <v>8350</v>
      </c>
    </row>
    <row r="3064" spans="1:3" ht="31.5" x14ac:dyDescent="0.25">
      <c r="A3064" s="62" t="s">
        <v>6672</v>
      </c>
      <c r="B3064" s="63" t="s">
        <v>6673</v>
      </c>
      <c r="C3064" s="79" t="s">
        <v>8523</v>
      </c>
    </row>
    <row r="3065" spans="1:3" ht="31.5" x14ac:dyDescent="0.25">
      <c r="A3065" s="62" t="s">
        <v>6674</v>
      </c>
      <c r="B3065" s="63" t="s">
        <v>6675</v>
      </c>
      <c r="C3065" s="79" t="s">
        <v>8529</v>
      </c>
    </row>
    <row r="3066" spans="1:3" ht="31.5" x14ac:dyDescent="0.25">
      <c r="A3066" s="62" t="s">
        <v>6676</v>
      </c>
      <c r="B3066" s="63" t="s">
        <v>6677</v>
      </c>
      <c r="C3066" s="79" t="s">
        <v>8523</v>
      </c>
    </row>
    <row r="3067" spans="1:3" ht="31.5" x14ac:dyDescent="0.25">
      <c r="A3067" s="62" t="s">
        <v>6678</v>
      </c>
      <c r="B3067" s="63" t="s">
        <v>6679</v>
      </c>
      <c r="C3067" s="79" t="s">
        <v>8529</v>
      </c>
    </row>
    <row r="3068" spans="1:3" ht="31.5" x14ac:dyDescent="0.25">
      <c r="A3068" s="62" t="s">
        <v>6680</v>
      </c>
      <c r="B3068" s="63" t="s">
        <v>6681</v>
      </c>
      <c r="C3068" s="79" t="s">
        <v>8523</v>
      </c>
    </row>
    <row r="3069" spans="1:3" ht="31.5" x14ac:dyDescent="0.25">
      <c r="A3069" s="62" t="s">
        <v>6682</v>
      </c>
      <c r="B3069" s="63" t="s">
        <v>6683</v>
      </c>
      <c r="C3069" s="79" t="s">
        <v>8529</v>
      </c>
    </row>
    <row r="3070" spans="1:3" ht="31.5" x14ac:dyDescent="0.25">
      <c r="A3070" s="62" t="s">
        <v>6684</v>
      </c>
      <c r="B3070" s="63" t="s">
        <v>6685</v>
      </c>
      <c r="C3070" s="79" t="s">
        <v>8523</v>
      </c>
    </row>
    <row r="3071" spans="1:3" ht="31.5" x14ac:dyDescent="0.25">
      <c r="A3071" s="62" t="s">
        <v>6686</v>
      </c>
      <c r="B3071" s="63" t="s">
        <v>6687</v>
      </c>
      <c r="C3071" s="79" t="s">
        <v>8529</v>
      </c>
    </row>
    <row r="3072" spans="1:3" ht="31.5" x14ac:dyDescent="0.25">
      <c r="A3072" s="62" t="s">
        <v>6688</v>
      </c>
      <c r="B3072" s="63" t="s">
        <v>6689</v>
      </c>
      <c r="C3072" s="79" t="s">
        <v>8523</v>
      </c>
    </row>
    <row r="3073" spans="1:3" ht="31.5" x14ac:dyDescent="0.25">
      <c r="A3073" s="62" t="s">
        <v>6690</v>
      </c>
      <c r="B3073" s="63" t="s">
        <v>6691</v>
      </c>
      <c r="C3073" s="79" t="s">
        <v>8529</v>
      </c>
    </row>
    <row r="3074" spans="1:3" ht="31.5" x14ac:dyDescent="0.25">
      <c r="A3074" s="62" t="s">
        <v>6692</v>
      </c>
      <c r="B3074" s="63" t="s">
        <v>6693</v>
      </c>
      <c r="C3074" s="79" t="s">
        <v>8523</v>
      </c>
    </row>
    <row r="3075" spans="1:3" ht="31.5" x14ac:dyDescent="0.25">
      <c r="A3075" s="62" t="s">
        <v>6694</v>
      </c>
      <c r="B3075" s="63" t="s">
        <v>6695</v>
      </c>
      <c r="C3075" s="79" t="s">
        <v>8529</v>
      </c>
    </row>
    <row r="3076" spans="1:3" ht="31.5" x14ac:dyDescent="0.25">
      <c r="A3076" s="62" t="s">
        <v>6696</v>
      </c>
      <c r="B3076" s="63" t="s">
        <v>6697</v>
      </c>
      <c r="C3076" s="79" t="s">
        <v>8523</v>
      </c>
    </row>
    <row r="3077" spans="1:3" ht="31.5" x14ac:dyDescent="0.25">
      <c r="A3077" s="62" t="s">
        <v>6698</v>
      </c>
      <c r="B3077" s="63" t="s">
        <v>6699</v>
      </c>
      <c r="C3077" s="79" t="s">
        <v>8529</v>
      </c>
    </row>
    <row r="3078" spans="1:3" ht="31.5" x14ac:dyDescent="0.25">
      <c r="A3078" s="62" t="s">
        <v>6700</v>
      </c>
      <c r="B3078" s="63" t="s">
        <v>6701</v>
      </c>
      <c r="C3078" s="79" t="s">
        <v>8523</v>
      </c>
    </row>
    <row r="3079" spans="1:3" ht="31.5" x14ac:dyDescent="0.25">
      <c r="A3079" s="62" t="s">
        <v>6702</v>
      </c>
      <c r="B3079" s="63" t="s">
        <v>6703</v>
      </c>
      <c r="C3079" s="79" t="s">
        <v>8529</v>
      </c>
    </row>
    <row r="3080" spans="1:3" ht="31.5" x14ac:dyDescent="0.25">
      <c r="A3080" s="62" t="s">
        <v>6704</v>
      </c>
      <c r="B3080" s="63" t="s">
        <v>6705</v>
      </c>
      <c r="C3080" s="79" t="s">
        <v>8523</v>
      </c>
    </row>
    <row r="3081" spans="1:3" ht="31.5" x14ac:dyDescent="0.25">
      <c r="A3081" s="62" t="s">
        <v>6706</v>
      </c>
      <c r="B3081" s="63" t="s">
        <v>6707</v>
      </c>
      <c r="C3081" s="79" t="s">
        <v>8529</v>
      </c>
    </row>
    <row r="3082" spans="1:3" ht="31.5" x14ac:dyDescent="0.25">
      <c r="A3082" s="62" t="s">
        <v>6708</v>
      </c>
      <c r="B3082" s="63" t="s">
        <v>6709</v>
      </c>
      <c r="C3082" s="79" t="s">
        <v>8523</v>
      </c>
    </row>
    <row r="3083" spans="1:3" ht="31.5" x14ac:dyDescent="0.25">
      <c r="A3083" s="62" t="s">
        <v>6710</v>
      </c>
      <c r="B3083" s="63" t="s">
        <v>6711</v>
      </c>
      <c r="C3083" s="79" t="s">
        <v>8529</v>
      </c>
    </row>
    <row r="3084" spans="1:3" ht="31.5" x14ac:dyDescent="0.25">
      <c r="A3084" s="62" t="s">
        <v>6712</v>
      </c>
      <c r="B3084" s="63" t="s">
        <v>6713</v>
      </c>
      <c r="C3084" s="79" t="s">
        <v>8940</v>
      </c>
    </row>
    <row r="3085" spans="1:3" ht="31.5" x14ac:dyDescent="0.25">
      <c r="A3085" s="62" t="s">
        <v>6714</v>
      </c>
      <c r="B3085" s="63" t="s">
        <v>6715</v>
      </c>
      <c r="C3085" s="79" t="s">
        <v>8578</v>
      </c>
    </row>
    <row r="3086" spans="1:3" ht="31.5" x14ac:dyDescent="0.25">
      <c r="A3086" s="62" t="s">
        <v>6716</v>
      </c>
      <c r="B3086" s="63" t="s">
        <v>6717</v>
      </c>
      <c r="C3086" s="79" t="s">
        <v>8940</v>
      </c>
    </row>
    <row r="3087" spans="1:3" ht="31.5" x14ac:dyDescent="0.25">
      <c r="A3087" s="62" t="s">
        <v>6718</v>
      </c>
      <c r="B3087" s="63" t="s">
        <v>6719</v>
      </c>
      <c r="C3087" s="79" t="s">
        <v>8578</v>
      </c>
    </row>
    <row r="3088" spans="1:3" ht="31.5" x14ac:dyDescent="0.25">
      <c r="A3088" s="62" t="s">
        <v>6720</v>
      </c>
      <c r="B3088" s="63" t="s">
        <v>6721</v>
      </c>
      <c r="C3088" s="79" t="s">
        <v>8940</v>
      </c>
    </row>
    <row r="3089" spans="1:3" ht="31.5" x14ac:dyDescent="0.25">
      <c r="A3089" s="62" t="s">
        <v>6722</v>
      </c>
      <c r="B3089" s="63" t="s">
        <v>6723</v>
      </c>
      <c r="C3089" s="79" t="s">
        <v>8578</v>
      </c>
    </row>
    <row r="3090" spans="1:3" ht="31.5" x14ac:dyDescent="0.25">
      <c r="A3090" s="62" t="s">
        <v>6724</v>
      </c>
      <c r="B3090" s="63" t="s">
        <v>6725</v>
      </c>
      <c r="C3090" s="79" t="s">
        <v>8940</v>
      </c>
    </row>
    <row r="3091" spans="1:3" ht="31.5" x14ac:dyDescent="0.25">
      <c r="A3091" s="62" t="s">
        <v>6726</v>
      </c>
      <c r="B3091" s="63" t="s">
        <v>6727</v>
      </c>
      <c r="C3091" s="79" t="s">
        <v>8578</v>
      </c>
    </row>
    <row r="3092" spans="1:3" ht="31.5" x14ac:dyDescent="0.25">
      <c r="A3092" s="62" t="s">
        <v>6728</v>
      </c>
      <c r="B3092" s="63" t="s">
        <v>6729</v>
      </c>
      <c r="C3092" s="79" t="s">
        <v>8940</v>
      </c>
    </row>
    <row r="3093" spans="1:3" ht="31.5" x14ac:dyDescent="0.25">
      <c r="A3093" s="62" t="s">
        <v>6730</v>
      </c>
      <c r="B3093" s="63" t="s">
        <v>6731</v>
      </c>
      <c r="C3093" s="79" t="s">
        <v>8578</v>
      </c>
    </row>
    <row r="3094" spans="1:3" ht="31.5" x14ac:dyDescent="0.25">
      <c r="A3094" s="62" t="s">
        <v>6732</v>
      </c>
      <c r="B3094" s="63" t="s">
        <v>6733</v>
      </c>
      <c r="C3094" s="79" t="s">
        <v>8756</v>
      </c>
    </row>
    <row r="3095" spans="1:3" ht="31.5" x14ac:dyDescent="0.25">
      <c r="A3095" s="62" t="s">
        <v>6734</v>
      </c>
      <c r="B3095" s="63" t="s">
        <v>6735</v>
      </c>
      <c r="C3095" s="79" t="s">
        <v>8609</v>
      </c>
    </row>
    <row r="3096" spans="1:3" ht="31.5" x14ac:dyDescent="0.25">
      <c r="A3096" s="62" t="s">
        <v>6736</v>
      </c>
      <c r="B3096" s="63" t="s">
        <v>6737</v>
      </c>
      <c r="C3096" s="79" t="s">
        <v>8756</v>
      </c>
    </row>
    <row r="3097" spans="1:3" ht="31.5" x14ac:dyDescent="0.25">
      <c r="A3097" s="62" t="s">
        <v>6738</v>
      </c>
      <c r="B3097" s="63" t="s">
        <v>6739</v>
      </c>
      <c r="C3097" s="79" t="s">
        <v>8609</v>
      </c>
    </row>
    <row r="3098" spans="1:3" ht="31.5" x14ac:dyDescent="0.25">
      <c r="A3098" s="62" t="s">
        <v>6740</v>
      </c>
      <c r="B3098" s="63" t="s">
        <v>6741</v>
      </c>
      <c r="C3098" s="79" t="s">
        <v>8756</v>
      </c>
    </row>
    <row r="3099" spans="1:3" ht="31.5" x14ac:dyDescent="0.25">
      <c r="A3099" s="62" t="s">
        <v>6742</v>
      </c>
      <c r="B3099" s="63" t="s">
        <v>6743</v>
      </c>
      <c r="C3099" s="79" t="s">
        <v>8609</v>
      </c>
    </row>
    <row r="3100" spans="1:3" ht="31.5" x14ac:dyDescent="0.25">
      <c r="A3100" s="62" t="s">
        <v>6744</v>
      </c>
      <c r="B3100" s="63" t="s">
        <v>6745</v>
      </c>
      <c r="C3100" s="79" t="s">
        <v>8756</v>
      </c>
    </row>
    <row r="3101" spans="1:3" ht="31.5" x14ac:dyDescent="0.25">
      <c r="A3101" s="62" t="s">
        <v>6746</v>
      </c>
      <c r="B3101" s="63" t="s">
        <v>6747</v>
      </c>
      <c r="C3101" s="79" t="s">
        <v>8609</v>
      </c>
    </row>
    <row r="3102" spans="1:3" ht="31.5" x14ac:dyDescent="0.25">
      <c r="A3102" s="62" t="s">
        <v>6748</v>
      </c>
      <c r="B3102" s="63" t="s">
        <v>6749</v>
      </c>
      <c r="C3102" s="79" t="s">
        <v>8756</v>
      </c>
    </row>
    <row r="3103" spans="1:3" ht="31.5" x14ac:dyDescent="0.25">
      <c r="A3103" s="62" t="s">
        <v>6750</v>
      </c>
      <c r="B3103" s="63" t="s">
        <v>6751</v>
      </c>
      <c r="C3103" s="79" t="s">
        <v>8609</v>
      </c>
    </row>
    <row r="3104" spans="1:3" ht="31.5" x14ac:dyDescent="0.25">
      <c r="A3104" s="62" t="s">
        <v>6752</v>
      </c>
      <c r="B3104" s="63" t="s">
        <v>6753</v>
      </c>
      <c r="C3104" s="79" t="s">
        <v>8350</v>
      </c>
    </row>
    <row r="3105" spans="1:3" ht="31.5" x14ac:dyDescent="0.25">
      <c r="A3105" s="62" t="s">
        <v>6754</v>
      </c>
      <c r="B3105" s="63" t="s">
        <v>6755</v>
      </c>
      <c r="C3105" s="79" t="s">
        <v>8941</v>
      </c>
    </row>
    <row r="3106" spans="1:3" ht="31.5" x14ac:dyDescent="0.25">
      <c r="A3106" s="62" t="s">
        <v>6756</v>
      </c>
      <c r="B3106" s="63" t="s">
        <v>6757</v>
      </c>
      <c r="C3106" s="79" t="s">
        <v>8350</v>
      </c>
    </row>
    <row r="3107" spans="1:3" ht="31.5" x14ac:dyDescent="0.25">
      <c r="A3107" s="62" t="s">
        <v>6758</v>
      </c>
      <c r="B3107" s="63" t="s">
        <v>6759</v>
      </c>
      <c r="C3107" s="79" t="s">
        <v>8941</v>
      </c>
    </row>
    <row r="3108" spans="1:3" ht="31.5" x14ac:dyDescent="0.25">
      <c r="A3108" s="62" t="s">
        <v>6760</v>
      </c>
      <c r="B3108" s="63" t="s">
        <v>6761</v>
      </c>
      <c r="C3108" s="79" t="s">
        <v>8350</v>
      </c>
    </row>
    <row r="3109" spans="1:3" ht="31.5" x14ac:dyDescent="0.25">
      <c r="A3109" s="62" t="s">
        <v>6762</v>
      </c>
      <c r="B3109" s="63" t="s">
        <v>6763</v>
      </c>
      <c r="C3109" s="79" t="s">
        <v>8941</v>
      </c>
    </row>
    <row r="3110" spans="1:3" ht="31.5" x14ac:dyDescent="0.25">
      <c r="A3110" s="62" t="s">
        <v>6764</v>
      </c>
      <c r="B3110" s="63" t="s">
        <v>6765</v>
      </c>
      <c r="C3110" s="79" t="s">
        <v>8350</v>
      </c>
    </row>
    <row r="3111" spans="1:3" ht="31.5" x14ac:dyDescent="0.25">
      <c r="A3111" s="62" t="s">
        <v>6766</v>
      </c>
      <c r="B3111" s="63" t="s">
        <v>6767</v>
      </c>
      <c r="C3111" s="79" t="s">
        <v>8941</v>
      </c>
    </row>
    <row r="3112" spans="1:3" ht="31.5" x14ac:dyDescent="0.25">
      <c r="A3112" s="62" t="s">
        <v>6768</v>
      </c>
      <c r="B3112" s="63" t="s">
        <v>6769</v>
      </c>
      <c r="C3112" s="79" t="s">
        <v>8350</v>
      </c>
    </row>
    <row r="3113" spans="1:3" ht="31.5" x14ac:dyDescent="0.25">
      <c r="A3113" s="62" t="s">
        <v>6770</v>
      </c>
      <c r="B3113" s="63" t="s">
        <v>6771</v>
      </c>
      <c r="C3113" s="79" t="s">
        <v>8941</v>
      </c>
    </row>
    <row r="3114" spans="1:3" ht="31.5" x14ac:dyDescent="0.25">
      <c r="A3114" s="62" t="s">
        <v>6772</v>
      </c>
      <c r="B3114" s="63" t="s">
        <v>6773</v>
      </c>
      <c r="C3114" s="79" t="s">
        <v>8350</v>
      </c>
    </row>
    <row r="3115" spans="1:3" ht="31.5" x14ac:dyDescent="0.25">
      <c r="A3115" s="62" t="s">
        <v>6774</v>
      </c>
      <c r="B3115" s="63" t="s">
        <v>6775</v>
      </c>
      <c r="C3115" s="79" t="s">
        <v>8941</v>
      </c>
    </row>
    <row r="3116" spans="1:3" ht="31.5" x14ac:dyDescent="0.25">
      <c r="A3116" s="62" t="s">
        <v>6776</v>
      </c>
      <c r="B3116" s="63" t="s">
        <v>6777</v>
      </c>
      <c r="C3116" s="79" t="s">
        <v>8350</v>
      </c>
    </row>
    <row r="3117" spans="1:3" ht="31.5" x14ac:dyDescent="0.25">
      <c r="A3117" s="62" t="s">
        <v>6778</v>
      </c>
      <c r="B3117" s="63" t="s">
        <v>6779</v>
      </c>
      <c r="C3117" s="79" t="s">
        <v>8941</v>
      </c>
    </row>
    <row r="3118" spans="1:3" ht="31.5" x14ac:dyDescent="0.25">
      <c r="A3118" s="62" t="s">
        <v>6780</v>
      </c>
      <c r="B3118" s="63" t="s">
        <v>6781</v>
      </c>
      <c r="C3118" s="79" t="s">
        <v>8350</v>
      </c>
    </row>
    <row r="3119" spans="1:3" ht="31.5" x14ac:dyDescent="0.25">
      <c r="A3119" s="62" t="s">
        <v>6782</v>
      </c>
      <c r="B3119" s="63" t="s">
        <v>6783</v>
      </c>
      <c r="C3119" s="79" t="s">
        <v>8941</v>
      </c>
    </row>
    <row r="3120" spans="1:3" ht="31.5" x14ac:dyDescent="0.25">
      <c r="A3120" s="62" t="s">
        <v>6784</v>
      </c>
      <c r="B3120" s="63" t="s">
        <v>6785</v>
      </c>
      <c r="C3120" s="79" t="s">
        <v>8350</v>
      </c>
    </row>
    <row r="3121" spans="1:3" ht="31.5" x14ac:dyDescent="0.25">
      <c r="A3121" s="62" t="s">
        <v>6786</v>
      </c>
      <c r="B3121" s="63" t="s">
        <v>6787</v>
      </c>
      <c r="C3121" s="79" t="s">
        <v>8941</v>
      </c>
    </row>
    <row r="3122" spans="1:3" ht="31.5" x14ac:dyDescent="0.25">
      <c r="A3122" s="62" t="s">
        <v>6788</v>
      </c>
      <c r="B3122" s="63" t="s">
        <v>6789</v>
      </c>
      <c r="C3122" s="79" t="s">
        <v>8350</v>
      </c>
    </row>
    <row r="3123" spans="1:3" ht="31.5" x14ac:dyDescent="0.25">
      <c r="A3123" s="62" t="s">
        <v>6790</v>
      </c>
      <c r="B3123" s="63" t="s">
        <v>6791</v>
      </c>
      <c r="C3123" s="79" t="s">
        <v>8941</v>
      </c>
    </row>
    <row r="3124" spans="1:3" ht="18" x14ac:dyDescent="0.25">
      <c r="A3124" s="182"/>
      <c r="B3124" s="182" t="s">
        <v>8944</v>
      </c>
      <c r="C3124" s="183"/>
    </row>
    <row r="3125" spans="1:3" ht="31.5" x14ac:dyDescent="0.25">
      <c r="A3125" s="62" t="s">
        <v>6792</v>
      </c>
      <c r="B3125" s="63" t="s">
        <v>6793</v>
      </c>
      <c r="C3125" s="79" t="s">
        <v>8523</v>
      </c>
    </row>
    <row r="3126" spans="1:3" ht="31.5" x14ac:dyDescent="0.25">
      <c r="A3126" s="62" t="s">
        <v>6794</v>
      </c>
      <c r="B3126" s="63" t="s">
        <v>6795</v>
      </c>
      <c r="C3126" s="79" t="s">
        <v>8523</v>
      </c>
    </row>
    <row r="3127" spans="1:3" ht="31.5" x14ac:dyDescent="0.25">
      <c r="A3127" s="62" t="s">
        <v>6796</v>
      </c>
      <c r="B3127" s="63" t="s">
        <v>6797</v>
      </c>
      <c r="C3127" s="79" t="s">
        <v>8523</v>
      </c>
    </row>
    <row r="3128" spans="1:3" ht="31.5" x14ac:dyDescent="0.25">
      <c r="A3128" s="62" t="s">
        <v>6798</v>
      </c>
      <c r="B3128" s="63" t="s">
        <v>6799</v>
      </c>
      <c r="C3128" s="79" t="s">
        <v>8523</v>
      </c>
    </row>
    <row r="3129" spans="1:3" ht="31.5" x14ac:dyDescent="0.25">
      <c r="A3129" s="62" t="s">
        <v>6800</v>
      </c>
      <c r="B3129" s="63" t="s">
        <v>6801</v>
      </c>
      <c r="C3129" s="79" t="s">
        <v>8523</v>
      </c>
    </row>
    <row r="3130" spans="1:3" ht="31.5" x14ac:dyDescent="0.25">
      <c r="A3130" s="62" t="s">
        <v>6802</v>
      </c>
      <c r="B3130" s="63" t="s">
        <v>6803</v>
      </c>
      <c r="C3130" s="79" t="s">
        <v>8523</v>
      </c>
    </row>
    <row r="3131" spans="1:3" ht="31.5" x14ac:dyDescent="0.25">
      <c r="A3131" s="62" t="s">
        <v>6804</v>
      </c>
      <c r="B3131" s="63" t="s">
        <v>6805</v>
      </c>
      <c r="C3131" s="79" t="s">
        <v>8523</v>
      </c>
    </row>
    <row r="3132" spans="1:3" ht="31.5" x14ac:dyDescent="0.25">
      <c r="A3132" s="62" t="s">
        <v>6806</v>
      </c>
      <c r="B3132" s="63" t="s">
        <v>6807</v>
      </c>
      <c r="C3132" s="79" t="s">
        <v>8523</v>
      </c>
    </row>
    <row r="3133" spans="1:3" ht="31.5" x14ac:dyDescent="0.25">
      <c r="A3133" s="62" t="s">
        <v>6808</v>
      </c>
      <c r="B3133" s="63" t="s">
        <v>6809</v>
      </c>
      <c r="C3133" s="79" t="s">
        <v>8523</v>
      </c>
    </row>
    <row r="3134" spans="1:3" ht="31.5" x14ac:dyDescent="0.25">
      <c r="A3134" s="62" t="s">
        <v>6810</v>
      </c>
      <c r="B3134" s="63" t="s">
        <v>6811</v>
      </c>
      <c r="C3134" s="79" t="s">
        <v>8523</v>
      </c>
    </row>
    <row r="3135" spans="1:3" ht="31.5" x14ac:dyDescent="0.25">
      <c r="A3135" s="62" t="s">
        <v>6812</v>
      </c>
      <c r="B3135" s="63" t="s">
        <v>6813</v>
      </c>
      <c r="C3135" s="79" t="s">
        <v>8940</v>
      </c>
    </row>
    <row r="3136" spans="1:3" ht="31.5" x14ac:dyDescent="0.25">
      <c r="A3136" s="62" t="s">
        <v>6814</v>
      </c>
      <c r="B3136" s="63" t="s">
        <v>6815</v>
      </c>
      <c r="C3136" s="79" t="s">
        <v>8940</v>
      </c>
    </row>
    <row r="3137" spans="1:3" ht="31.5" x14ac:dyDescent="0.25">
      <c r="A3137" s="62" t="s">
        <v>6816</v>
      </c>
      <c r="B3137" s="63" t="s">
        <v>6817</v>
      </c>
      <c r="C3137" s="79" t="s">
        <v>8940</v>
      </c>
    </row>
    <row r="3138" spans="1:3" ht="31.5" x14ac:dyDescent="0.25">
      <c r="A3138" s="62" t="s">
        <v>6818</v>
      </c>
      <c r="B3138" s="63" t="s">
        <v>6819</v>
      </c>
      <c r="C3138" s="79" t="s">
        <v>8940</v>
      </c>
    </row>
    <row r="3139" spans="1:3" ht="31.5" x14ac:dyDescent="0.25">
      <c r="A3139" s="62" t="s">
        <v>6820</v>
      </c>
      <c r="B3139" s="63" t="s">
        <v>6821</v>
      </c>
      <c r="C3139" s="79" t="s">
        <v>8940</v>
      </c>
    </row>
    <row r="3140" spans="1:3" ht="31.5" x14ac:dyDescent="0.25">
      <c r="A3140" s="62" t="s">
        <v>6822</v>
      </c>
      <c r="B3140" s="63" t="s">
        <v>6823</v>
      </c>
      <c r="C3140" s="79" t="s">
        <v>8756</v>
      </c>
    </row>
    <row r="3141" spans="1:3" ht="31.5" x14ac:dyDescent="0.25">
      <c r="A3141" s="62" t="s">
        <v>6824</v>
      </c>
      <c r="B3141" s="63" t="s">
        <v>6825</v>
      </c>
      <c r="C3141" s="79" t="s">
        <v>8756</v>
      </c>
    </row>
    <row r="3142" spans="1:3" ht="31.5" x14ac:dyDescent="0.25">
      <c r="A3142" s="62" t="s">
        <v>6826</v>
      </c>
      <c r="B3142" s="63" t="s">
        <v>6827</v>
      </c>
      <c r="C3142" s="79" t="s">
        <v>8756</v>
      </c>
    </row>
    <row r="3143" spans="1:3" ht="31.5" x14ac:dyDescent="0.25">
      <c r="A3143" s="62" t="s">
        <v>6828</v>
      </c>
      <c r="B3143" s="63" t="s">
        <v>6829</v>
      </c>
      <c r="C3143" s="79" t="s">
        <v>8756</v>
      </c>
    </row>
    <row r="3144" spans="1:3" ht="31.5" x14ac:dyDescent="0.25">
      <c r="A3144" s="62" t="s">
        <v>6830</v>
      </c>
      <c r="B3144" s="63" t="s">
        <v>6831</v>
      </c>
      <c r="C3144" s="79" t="s">
        <v>8756</v>
      </c>
    </row>
    <row r="3145" spans="1:3" ht="31.5" x14ac:dyDescent="0.25">
      <c r="A3145" s="62" t="s">
        <v>6832</v>
      </c>
      <c r="B3145" s="63" t="s">
        <v>6833</v>
      </c>
      <c r="C3145" s="79" t="s">
        <v>8350</v>
      </c>
    </row>
    <row r="3146" spans="1:3" ht="31.5" x14ac:dyDescent="0.25">
      <c r="A3146" s="62" t="s">
        <v>6834</v>
      </c>
      <c r="B3146" s="63" t="s">
        <v>6835</v>
      </c>
      <c r="C3146" s="79" t="s">
        <v>8350</v>
      </c>
    </row>
    <row r="3147" spans="1:3" ht="31.5" x14ac:dyDescent="0.25">
      <c r="A3147" s="62" t="s">
        <v>6836</v>
      </c>
      <c r="B3147" s="63" t="s">
        <v>6837</v>
      </c>
      <c r="C3147" s="79" t="s">
        <v>8350</v>
      </c>
    </row>
    <row r="3148" spans="1:3" ht="31.5" x14ac:dyDescent="0.25">
      <c r="A3148" s="62" t="s">
        <v>6838</v>
      </c>
      <c r="B3148" s="63" t="s">
        <v>6839</v>
      </c>
      <c r="C3148" s="79" t="s">
        <v>8350</v>
      </c>
    </row>
    <row r="3149" spans="1:3" ht="31.5" x14ac:dyDescent="0.25">
      <c r="A3149" s="62" t="s">
        <v>6840</v>
      </c>
      <c r="B3149" s="63" t="s">
        <v>6841</v>
      </c>
      <c r="C3149" s="79" t="s">
        <v>8350</v>
      </c>
    </row>
    <row r="3150" spans="1:3" ht="31.5" x14ac:dyDescent="0.25">
      <c r="A3150" s="62" t="s">
        <v>6842</v>
      </c>
      <c r="B3150" s="63" t="s">
        <v>6843</v>
      </c>
      <c r="C3150" s="79" t="s">
        <v>8350</v>
      </c>
    </row>
    <row r="3151" spans="1:3" ht="31.5" x14ac:dyDescent="0.25">
      <c r="A3151" s="62" t="s">
        <v>6844</v>
      </c>
      <c r="B3151" s="63" t="s">
        <v>6845</v>
      </c>
      <c r="C3151" s="79" t="s">
        <v>8350</v>
      </c>
    </row>
    <row r="3152" spans="1:3" ht="31.5" x14ac:dyDescent="0.25">
      <c r="A3152" s="62" t="s">
        <v>6846</v>
      </c>
      <c r="B3152" s="63" t="s">
        <v>6847</v>
      </c>
      <c r="C3152" s="79" t="s">
        <v>8350</v>
      </c>
    </row>
    <row r="3153" spans="1:3" ht="31.5" x14ac:dyDescent="0.25">
      <c r="A3153" s="62" t="s">
        <v>6848</v>
      </c>
      <c r="B3153" s="63" t="s">
        <v>6849</v>
      </c>
      <c r="C3153" s="79" t="s">
        <v>8350</v>
      </c>
    </row>
    <row r="3154" spans="1:3" ht="31.5" x14ac:dyDescent="0.25">
      <c r="A3154" s="62" t="s">
        <v>6850</v>
      </c>
      <c r="B3154" s="63" t="s">
        <v>6851</v>
      </c>
      <c r="C3154" s="79" t="s">
        <v>8350</v>
      </c>
    </row>
    <row r="3155" spans="1:3" ht="18" x14ac:dyDescent="0.25">
      <c r="A3155" s="182"/>
      <c r="B3155" s="182" t="s">
        <v>8945</v>
      </c>
      <c r="C3155" s="183"/>
    </row>
    <row r="3156" spans="1:3" ht="31.5" x14ac:dyDescent="0.25">
      <c r="A3156" s="62" t="s">
        <v>6852</v>
      </c>
      <c r="B3156" s="63" t="s">
        <v>6853</v>
      </c>
      <c r="C3156" s="79" t="s">
        <v>8523</v>
      </c>
    </row>
    <row r="3157" spans="1:3" ht="31.5" x14ac:dyDescent="0.25">
      <c r="A3157" s="62" t="s">
        <v>6854</v>
      </c>
      <c r="B3157" s="63" t="s">
        <v>6855</v>
      </c>
      <c r="C3157" s="79" t="s">
        <v>8523</v>
      </c>
    </row>
    <row r="3158" spans="1:3" ht="31.5" x14ac:dyDescent="0.25">
      <c r="A3158" s="62" t="s">
        <v>6856</v>
      </c>
      <c r="B3158" s="63" t="s">
        <v>6857</v>
      </c>
      <c r="C3158" s="79" t="s">
        <v>8523</v>
      </c>
    </row>
    <row r="3159" spans="1:3" ht="31.5" x14ac:dyDescent="0.25">
      <c r="A3159" s="62" t="s">
        <v>6858</v>
      </c>
      <c r="B3159" s="63" t="s">
        <v>6859</v>
      </c>
      <c r="C3159" s="79" t="s">
        <v>8523</v>
      </c>
    </row>
    <row r="3160" spans="1:3" ht="31.5" x14ac:dyDescent="0.25">
      <c r="A3160" s="62" t="s">
        <v>6860</v>
      </c>
      <c r="B3160" s="63" t="s">
        <v>6861</v>
      </c>
      <c r="C3160" s="79" t="s">
        <v>8523</v>
      </c>
    </row>
    <row r="3161" spans="1:3" ht="31.5" x14ac:dyDescent="0.25">
      <c r="A3161" s="62" t="s">
        <v>6862</v>
      </c>
      <c r="B3161" s="63" t="s">
        <v>6863</v>
      </c>
      <c r="C3161" s="79" t="s">
        <v>8523</v>
      </c>
    </row>
    <row r="3162" spans="1:3" ht="31.5" x14ac:dyDescent="0.25">
      <c r="A3162" s="62" t="s">
        <v>6864</v>
      </c>
      <c r="B3162" s="63" t="s">
        <v>6865</v>
      </c>
      <c r="C3162" s="79" t="s">
        <v>8523</v>
      </c>
    </row>
    <row r="3163" spans="1:3" ht="31.5" x14ac:dyDescent="0.25">
      <c r="A3163" s="62" t="s">
        <v>6866</v>
      </c>
      <c r="B3163" s="63" t="s">
        <v>6867</v>
      </c>
      <c r="C3163" s="79" t="s">
        <v>8523</v>
      </c>
    </row>
    <row r="3164" spans="1:3" ht="31.5" x14ac:dyDescent="0.25">
      <c r="A3164" s="62" t="s">
        <v>6868</v>
      </c>
      <c r="B3164" s="63" t="s">
        <v>6869</v>
      </c>
      <c r="C3164" s="79" t="s">
        <v>8523</v>
      </c>
    </row>
    <row r="3165" spans="1:3" ht="31.5" x14ac:dyDescent="0.25">
      <c r="A3165" s="62" t="s">
        <v>6870</v>
      </c>
      <c r="B3165" s="63" t="s">
        <v>6871</v>
      </c>
      <c r="C3165" s="79" t="s">
        <v>8523</v>
      </c>
    </row>
    <row r="3166" spans="1:3" ht="31.5" x14ac:dyDescent="0.25">
      <c r="A3166" s="62" t="s">
        <v>6872</v>
      </c>
      <c r="B3166" s="63" t="s">
        <v>6873</v>
      </c>
      <c r="C3166" s="79" t="s">
        <v>8940</v>
      </c>
    </row>
    <row r="3167" spans="1:3" ht="31.5" x14ac:dyDescent="0.25">
      <c r="A3167" s="62" t="s">
        <v>6874</v>
      </c>
      <c r="B3167" s="63" t="s">
        <v>6875</v>
      </c>
      <c r="C3167" s="79" t="s">
        <v>8940</v>
      </c>
    </row>
    <row r="3168" spans="1:3" ht="31.5" x14ac:dyDescent="0.25">
      <c r="A3168" s="62" t="s">
        <v>6876</v>
      </c>
      <c r="B3168" s="63" t="s">
        <v>6877</v>
      </c>
      <c r="C3168" s="79" t="s">
        <v>8940</v>
      </c>
    </row>
    <row r="3169" spans="1:3" ht="31.5" x14ac:dyDescent="0.25">
      <c r="A3169" s="62" t="s">
        <v>6878</v>
      </c>
      <c r="B3169" s="63" t="s">
        <v>6879</v>
      </c>
      <c r="C3169" s="79" t="s">
        <v>8940</v>
      </c>
    </row>
    <row r="3170" spans="1:3" ht="31.5" x14ac:dyDescent="0.25">
      <c r="A3170" s="62" t="s">
        <v>6880</v>
      </c>
      <c r="B3170" s="63" t="s">
        <v>6881</v>
      </c>
      <c r="C3170" s="79" t="s">
        <v>8940</v>
      </c>
    </row>
    <row r="3171" spans="1:3" ht="31.5" x14ac:dyDescent="0.25">
      <c r="A3171" s="62" t="s">
        <v>6882</v>
      </c>
      <c r="B3171" s="63" t="s">
        <v>6883</v>
      </c>
      <c r="C3171" s="79" t="s">
        <v>8756</v>
      </c>
    </row>
    <row r="3172" spans="1:3" ht="31.5" x14ac:dyDescent="0.25">
      <c r="A3172" s="62" t="s">
        <v>6884</v>
      </c>
      <c r="B3172" s="63" t="s">
        <v>6885</v>
      </c>
      <c r="C3172" s="79" t="s">
        <v>8756</v>
      </c>
    </row>
    <row r="3173" spans="1:3" ht="31.5" x14ac:dyDescent="0.25">
      <c r="A3173" s="62" t="s">
        <v>6886</v>
      </c>
      <c r="B3173" s="63" t="s">
        <v>6887</v>
      </c>
      <c r="C3173" s="79" t="s">
        <v>8756</v>
      </c>
    </row>
    <row r="3174" spans="1:3" ht="31.5" x14ac:dyDescent="0.25">
      <c r="A3174" s="62" t="s">
        <v>6888</v>
      </c>
      <c r="B3174" s="63" t="s">
        <v>6889</v>
      </c>
      <c r="C3174" s="79" t="s">
        <v>8756</v>
      </c>
    </row>
    <row r="3175" spans="1:3" ht="31.5" x14ac:dyDescent="0.25">
      <c r="A3175" s="62" t="s">
        <v>6890</v>
      </c>
      <c r="B3175" s="63" t="s">
        <v>6891</v>
      </c>
      <c r="C3175" s="79" t="s">
        <v>8756</v>
      </c>
    </row>
    <row r="3176" spans="1:3" ht="31.5" x14ac:dyDescent="0.25">
      <c r="A3176" s="62" t="s">
        <v>6892</v>
      </c>
      <c r="B3176" s="63" t="s">
        <v>6893</v>
      </c>
      <c r="C3176" s="79" t="s">
        <v>8350</v>
      </c>
    </row>
    <row r="3177" spans="1:3" ht="31.5" x14ac:dyDescent="0.25">
      <c r="A3177" s="62" t="s">
        <v>6894</v>
      </c>
      <c r="B3177" s="63" t="s">
        <v>6895</v>
      </c>
      <c r="C3177" s="79" t="s">
        <v>8350</v>
      </c>
    </row>
    <row r="3178" spans="1:3" ht="31.5" x14ac:dyDescent="0.25">
      <c r="A3178" s="62" t="s">
        <v>6896</v>
      </c>
      <c r="B3178" s="63" t="s">
        <v>6897</v>
      </c>
      <c r="C3178" s="79" t="s">
        <v>8350</v>
      </c>
    </row>
    <row r="3179" spans="1:3" ht="31.5" x14ac:dyDescent="0.25">
      <c r="A3179" s="62" t="s">
        <v>6898</v>
      </c>
      <c r="B3179" s="63" t="s">
        <v>6899</v>
      </c>
      <c r="C3179" s="79" t="s">
        <v>8350</v>
      </c>
    </row>
    <row r="3180" spans="1:3" ht="31.5" x14ac:dyDescent="0.25">
      <c r="A3180" s="62" t="s">
        <v>6900</v>
      </c>
      <c r="B3180" s="63" t="s">
        <v>6901</v>
      </c>
      <c r="C3180" s="79" t="s">
        <v>8350</v>
      </c>
    </row>
    <row r="3181" spans="1:3" ht="31.5" x14ac:dyDescent="0.25">
      <c r="A3181" s="62" t="s">
        <v>6902</v>
      </c>
      <c r="B3181" s="63" t="s">
        <v>6903</v>
      </c>
      <c r="C3181" s="79" t="s">
        <v>8350</v>
      </c>
    </row>
    <row r="3182" spans="1:3" ht="31.5" x14ac:dyDescent="0.25">
      <c r="A3182" s="62" t="s">
        <v>6904</v>
      </c>
      <c r="B3182" s="63" t="s">
        <v>6905</v>
      </c>
      <c r="C3182" s="79" t="s">
        <v>8350</v>
      </c>
    </row>
    <row r="3183" spans="1:3" ht="31.5" x14ac:dyDescent="0.25">
      <c r="A3183" s="62" t="s">
        <v>6906</v>
      </c>
      <c r="B3183" s="63" t="s">
        <v>6907</v>
      </c>
      <c r="C3183" s="79" t="s">
        <v>8350</v>
      </c>
    </row>
    <row r="3184" spans="1:3" ht="31.5" x14ac:dyDescent="0.25">
      <c r="A3184" s="62" t="s">
        <v>6908</v>
      </c>
      <c r="B3184" s="63" t="s">
        <v>6909</v>
      </c>
      <c r="C3184" s="79" t="s">
        <v>8350</v>
      </c>
    </row>
    <row r="3185" spans="1:3" ht="31.5" x14ac:dyDescent="0.25">
      <c r="A3185" s="62" t="s">
        <v>6910</v>
      </c>
      <c r="B3185" s="63" t="s">
        <v>6911</v>
      </c>
      <c r="C3185" s="79" t="s">
        <v>8350</v>
      </c>
    </row>
    <row r="3186" spans="1:3" ht="18" x14ac:dyDescent="0.25">
      <c r="A3186" s="182"/>
      <c r="B3186" s="182" t="s">
        <v>8946</v>
      </c>
      <c r="C3186" s="183"/>
    </row>
    <row r="3187" spans="1:3" x14ac:dyDescent="0.25">
      <c r="A3187" s="62" t="s">
        <v>6912</v>
      </c>
      <c r="B3187" s="63" t="s">
        <v>6913</v>
      </c>
      <c r="C3187" s="79" t="s">
        <v>8660</v>
      </c>
    </row>
    <row r="3188" spans="1:3" x14ac:dyDescent="0.25">
      <c r="A3188" s="62" t="s">
        <v>6914</v>
      </c>
      <c r="B3188" s="63" t="s">
        <v>6915</v>
      </c>
      <c r="C3188" s="79" t="s">
        <v>8660</v>
      </c>
    </row>
    <row r="3189" spans="1:3" x14ac:dyDescent="0.25">
      <c r="A3189" s="62" t="s">
        <v>6916</v>
      </c>
      <c r="B3189" s="63" t="s">
        <v>6917</v>
      </c>
      <c r="C3189" s="79" t="s">
        <v>8660</v>
      </c>
    </row>
    <row r="3190" spans="1:3" x14ac:dyDescent="0.25">
      <c r="A3190" s="62" t="s">
        <v>6918</v>
      </c>
      <c r="B3190" s="63" t="s">
        <v>6919</v>
      </c>
      <c r="C3190" s="79" t="s">
        <v>8660</v>
      </c>
    </row>
    <row r="3191" spans="1:3" x14ac:dyDescent="0.25">
      <c r="A3191" s="62" t="s">
        <v>6920</v>
      </c>
      <c r="B3191" s="63" t="s">
        <v>6921</v>
      </c>
      <c r="C3191" s="79" t="s">
        <v>8660</v>
      </c>
    </row>
    <row r="3192" spans="1:3" x14ac:dyDescent="0.25">
      <c r="A3192" s="62" t="s">
        <v>6922</v>
      </c>
      <c r="B3192" s="63" t="s">
        <v>6923</v>
      </c>
      <c r="C3192" s="79" t="s">
        <v>8660</v>
      </c>
    </row>
    <row r="3193" spans="1:3" x14ac:dyDescent="0.25">
      <c r="A3193" s="62" t="s">
        <v>6924</v>
      </c>
      <c r="B3193" s="63" t="s">
        <v>6925</v>
      </c>
      <c r="C3193" s="79" t="s">
        <v>8660</v>
      </c>
    </row>
    <row r="3194" spans="1:3" x14ac:dyDescent="0.25">
      <c r="A3194" s="62" t="s">
        <v>6926</v>
      </c>
      <c r="B3194" s="63" t="s">
        <v>6927</v>
      </c>
      <c r="C3194" s="79" t="s">
        <v>8660</v>
      </c>
    </row>
    <row r="3195" spans="1:3" x14ac:dyDescent="0.25">
      <c r="A3195" s="62" t="s">
        <v>6928</v>
      </c>
      <c r="B3195" s="63" t="s">
        <v>6929</v>
      </c>
      <c r="C3195" s="79" t="s">
        <v>8660</v>
      </c>
    </row>
    <row r="3196" spans="1:3" x14ac:dyDescent="0.25">
      <c r="A3196" s="62" t="s">
        <v>6930</v>
      </c>
      <c r="B3196" s="63" t="s">
        <v>6931</v>
      </c>
      <c r="C3196" s="79" t="s">
        <v>8660</v>
      </c>
    </row>
    <row r="3197" spans="1:3" x14ac:dyDescent="0.25">
      <c r="A3197" s="62" t="s">
        <v>6932</v>
      </c>
      <c r="B3197" s="63" t="s">
        <v>6933</v>
      </c>
      <c r="C3197" s="79" t="s">
        <v>8660</v>
      </c>
    </row>
    <row r="3198" spans="1:3" x14ac:dyDescent="0.25">
      <c r="A3198" s="62" t="s">
        <v>6934</v>
      </c>
      <c r="B3198" s="63" t="s">
        <v>6935</v>
      </c>
      <c r="C3198" s="79" t="s">
        <v>8660</v>
      </c>
    </row>
    <row r="3199" spans="1:3" x14ac:dyDescent="0.25">
      <c r="A3199" s="62" t="s">
        <v>6936</v>
      </c>
      <c r="B3199" s="63" t="s">
        <v>6937</v>
      </c>
      <c r="C3199" s="79" t="s">
        <v>8660</v>
      </c>
    </row>
    <row r="3200" spans="1:3" x14ac:dyDescent="0.25">
      <c r="A3200" s="62" t="s">
        <v>6938</v>
      </c>
      <c r="B3200" s="63" t="s">
        <v>6939</v>
      </c>
      <c r="C3200" s="79" t="s">
        <v>8660</v>
      </c>
    </row>
    <row r="3201" spans="1:3" x14ac:dyDescent="0.25">
      <c r="A3201" s="62" t="s">
        <v>6940</v>
      </c>
      <c r="B3201" s="63" t="s">
        <v>6941</v>
      </c>
      <c r="C3201" s="79" t="s">
        <v>8660</v>
      </c>
    </row>
    <row r="3202" spans="1:3" x14ac:dyDescent="0.25">
      <c r="A3202" s="62" t="s">
        <v>6942</v>
      </c>
      <c r="B3202" s="63" t="s">
        <v>6943</v>
      </c>
      <c r="C3202" s="79" t="s">
        <v>8947</v>
      </c>
    </row>
    <row r="3203" spans="1:3" x14ac:dyDescent="0.25">
      <c r="A3203" s="62" t="s">
        <v>6944</v>
      </c>
      <c r="B3203" s="63" t="s">
        <v>6945</v>
      </c>
      <c r="C3203" s="79" t="s">
        <v>8947</v>
      </c>
    </row>
    <row r="3204" spans="1:3" x14ac:dyDescent="0.25">
      <c r="A3204" s="62" t="s">
        <v>6946</v>
      </c>
      <c r="B3204" s="63" t="s">
        <v>6947</v>
      </c>
      <c r="C3204" s="79" t="s">
        <v>8947</v>
      </c>
    </row>
    <row r="3205" spans="1:3" x14ac:dyDescent="0.25">
      <c r="A3205" s="62" t="s">
        <v>6948</v>
      </c>
      <c r="B3205" s="63" t="s">
        <v>6949</v>
      </c>
      <c r="C3205" s="79" t="s">
        <v>8947</v>
      </c>
    </row>
    <row r="3206" spans="1:3" x14ac:dyDescent="0.25">
      <c r="A3206" s="62" t="s">
        <v>6950</v>
      </c>
      <c r="B3206" s="63" t="s">
        <v>6951</v>
      </c>
      <c r="C3206" s="79" t="s">
        <v>8947</v>
      </c>
    </row>
    <row r="3207" spans="1:3" x14ac:dyDescent="0.25">
      <c r="A3207" s="62" t="s">
        <v>6952</v>
      </c>
      <c r="B3207" s="63" t="s">
        <v>6953</v>
      </c>
      <c r="C3207" s="79" t="s">
        <v>8916</v>
      </c>
    </row>
    <row r="3208" spans="1:3" x14ac:dyDescent="0.25">
      <c r="A3208" s="62" t="s">
        <v>6954</v>
      </c>
      <c r="B3208" s="63" t="s">
        <v>6955</v>
      </c>
      <c r="C3208" s="79" t="s">
        <v>8916</v>
      </c>
    </row>
    <row r="3209" spans="1:3" x14ac:dyDescent="0.25">
      <c r="A3209" s="62" t="s">
        <v>6956</v>
      </c>
      <c r="B3209" s="63" t="s">
        <v>6957</v>
      </c>
      <c r="C3209" s="79" t="s">
        <v>8916</v>
      </c>
    </row>
    <row r="3210" spans="1:3" x14ac:dyDescent="0.25">
      <c r="A3210" s="62" t="s">
        <v>6958</v>
      </c>
      <c r="B3210" s="63" t="s">
        <v>6959</v>
      </c>
      <c r="C3210" s="79" t="s">
        <v>8916</v>
      </c>
    </row>
    <row r="3211" spans="1:3" x14ac:dyDescent="0.25">
      <c r="A3211" s="62" t="s">
        <v>6960</v>
      </c>
      <c r="B3211" s="63" t="s">
        <v>6961</v>
      </c>
      <c r="C3211" s="79" t="s">
        <v>8916</v>
      </c>
    </row>
    <row r="3212" spans="1:3" x14ac:dyDescent="0.25">
      <c r="A3212" s="62" t="s">
        <v>6962</v>
      </c>
      <c r="B3212" s="63" t="s">
        <v>6963</v>
      </c>
      <c r="C3212" s="79" t="s">
        <v>8756</v>
      </c>
    </row>
    <row r="3213" spans="1:3" x14ac:dyDescent="0.25">
      <c r="A3213" s="62" t="s">
        <v>6964</v>
      </c>
      <c r="B3213" s="63" t="s">
        <v>6965</v>
      </c>
      <c r="C3213" s="79" t="s">
        <v>8756</v>
      </c>
    </row>
    <row r="3214" spans="1:3" x14ac:dyDescent="0.25">
      <c r="A3214" s="62" t="s">
        <v>6966</v>
      </c>
      <c r="B3214" s="63" t="s">
        <v>6967</v>
      </c>
      <c r="C3214" s="79" t="s">
        <v>8756</v>
      </c>
    </row>
    <row r="3215" spans="1:3" x14ac:dyDescent="0.25">
      <c r="A3215" s="62" t="s">
        <v>6968</v>
      </c>
      <c r="B3215" s="63" t="s">
        <v>6969</v>
      </c>
      <c r="C3215" s="79" t="s">
        <v>8756</v>
      </c>
    </row>
    <row r="3216" spans="1:3" x14ac:dyDescent="0.25">
      <c r="A3216" s="62" t="s">
        <v>6970</v>
      </c>
      <c r="B3216" s="63" t="s">
        <v>6971</v>
      </c>
      <c r="C3216" s="79" t="s">
        <v>8756</v>
      </c>
    </row>
    <row r="3217" spans="1:3" x14ac:dyDescent="0.25">
      <c r="A3217" s="62" t="s">
        <v>6972</v>
      </c>
      <c r="B3217" s="63" t="s">
        <v>6973</v>
      </c>
      <c r="C3217" s="79" t="s">
        <v>8756</v>
      </c>
    </row>
    <row r="3218" spans="1:3" x14ac:dyDescent="0.25">
      <c r="A3218" s="62" t="s">
        <v>6974</v>
      </c>
      <c r="B3218" s="63" t="s">
        <v>6975</v>
      </c>
      <c r="C3218" s="79" t="s">
        <v>8756</v>
      </c>
    </row>
    <row r="3219" spans="1:3" x14ac:dyDescent="0.25">
      <c r="A3219" s="62" t="s">
        <v>6976</v>
      </c>
      <c r="B3219" s="63" t="s">
        <v>6977</v>
      </c>
      <c r="C3219" s="79" t="s">
        <v>8756</v>
      </c>
    </row>
    <row r="3220" spans="1:3" x14ac:dyDescent="0.25">
      <c r="A3220" s="62" t="s">
        <v>6978</v>
      </c>
      <c r="B3220" s="63" t="s">
        <v>6979</v>
      </c>
      <c r="C3220" s="79" t="s">
        <v>8756</v>
      </c>
    </row>
    <row r="3221" spans="1:3" x14ac:dyDescent="0.25">
      <c r="A3221" s="62" t="s">
        <v>6980</v>
      </c>
      <c r="B3221" s="63" t="s">
        <v>6981</v>
      </c>
      <c r="C3221" s="79" t="s">
        <v>8756</v>
      </c>
    </row>
    <row r="3222" spans="1:3" ht="18" x14ac:dyDescent="0.25">
      <c r="A3222" s="182"/>
      <c r="B3222" s="182" t="s">
        <v>8948</v>
      </c>
      <c r="C3222" s="183"/>
    </row>
    <row r="3223" spans="1:3" x14ac:dyDescent="0.25">
      <c r="A3223" s="62" t="s">
        <v>6982</v>
      </c>
      <c r="B3223" s="63" t="s">
        <v>6983</v>
      </c>
      <c r="C3223" s="79" t="s">
        <v>8949</v>
      </c>
    </row>
    <row r="3224" spans="1:3" x14ac:dyDescent="0.25">
      <c r="A3224" s="62" t="s">
        <v>6984</v>
      </c>
      <c r="B3224" s="63" t="s">
        <v>6985</v>
      </c>
      <c r="C3224" s="79" t="s">
        <v>8949</v>
      </c>
    </row>
    <row r="3225" spans="1:3" x14ac:dyDescent="0.25">
      <c r="A3225" s="62" t="s">
        <v>6986</v>
      </c>
      <c r="B3225" s="63" t="s">
        <v>6987</v>
      </c>
      <c r="C3225" s="79" t="s">
        <v>8949</v>
      </c>
    </row>
    <row r="3226" spans="1:3" x14ac:dyDescent="0.25">
      <c r="A3226" s="62" t="s">
        <v>6988</v>
      </c>
      <c r="B3226" s="63" t="s">
        <v>6989</v>
      </c>
      <c r="C3226" s="79" t="s">
        <v>8950</v>
      </c>
    </row>
    <row r="3227" spans="1:3" ht="18" x14ac:dyDescent="0.25">
      <c r="A3227" s="182"/>
      <c r="B3227" s="182" t="s">
        <v>8951</v>
      </c>
      <c r="C3227" s="183"/>
    </row>
    <row r="3228" spans="1:3" ht="47.25" x14ac:dyDescent="0.25">
      <c r="A3228" s="62" t="s">
        <v>6990</v>
      </c>
      <c r="B3228" s="63" t="s">
        <v>6991</v>
      </c>
      <c r="C3228" s="79" t="s">
        <v>8409</v>
      </c>
    </row>
    <row r="3229" spans="1:3" ht="18" x14ac:dyDescent="0.25">
      <c r="A3229" s="182"/>
      <c r="B3229" s="182" t="s">
        <v>8952</v>
      </c>
      <c r="C3229" s="183"/>
    </row>
    <row r="3230" spans="1:3" x14ac:dyDescent="0.25">
      <c r="A3230" s="62" t="s">
        <v>6992</v>
      </c>
      <c r="B3230" s="63" t="s">
        <v>6993</v>
      </c>
      <c r="C3230" s="79" t="s">
        <v>8740</v>
      </c>
    </row>
    <row r="3231" spans="1:3" x14ac:dyDescent="0.25">
      <c r="A3231" s="62" t="s">
        <v>6994</v>
      </c>
      <c r="B3231" s="63" t="s">
        <v>6995</v>
      </c>
      <c r="C3231" s="79" t="s">
        <v>8732</v>
      </c>
    </row>
    <row r="3232" spans="1:3" x14ac:dyDescent="0.25">
      <c r="A3232" s="62" t="s">
        <v>6996</v>
      </c>
      <c r="B3232" s="63" t="s">
        <v>6997</v>
      </c>
      <c r="C3232" s="79" t="s">
        <v>8702</v>
      </c>
    </row>
    <row r="3233" spans="1:3" ht="18" x14ac:dyDescent="0.25">
      <c r="A3233" s="182"/>
      <c r="B3233" s="182" t="s">
        <v>8953</v>
      </c>
      <c r="C3233" s="183"/>
    </row>
    <row r="3234" spans="1:3" x14ac:dyDescent="0.25">
      <c r="A3234" s="62" t="s">
        <v>6998</v>
      </c>
      <c r="B3234" s="63" t="s">
        <v>6999</v>
      </c>
      <c r="C3234" s="79" t="s">
        <v>8698</v>
      </c>
    </row>
    <row r="3235" spans="1:3" ht="18" x14ac:dyDescent="0.25">
      <c r="A3235" s="182"/>
      <c r="B3235" s="182" t="s">
        <v>8954</v>
      </c>
      <c r="C3235" s="183"/>
    </row>
    <row r="3236" spans="1:3" x14ac:dyDescent="0.25">
      <c r="A3236" s="62" t="s">
        <v>7000</v>
      </c>
      <c r="B3236" s="63" t="s">
        <v>7001</v>
      </c>
      <c r="C3236" s="79" t="s">
        <v>8834</v>
      </c>
    </row>
    <row r="3237" spans="1:3" x14ac:dyDescent="0.25">
      <c r="A3237" s="62" t="s">
        <v>7002</v>
      </c>
      <c r="B3237" s="63" t="s">
        <v>7003</v>
      </c>
      <c r="C3237" s="79" t="s">
        <v>8868</v>
      </c>
    </row>
    <row r="3238" spans="1:3" ht="18" x14ac:dyDescent="0.25">
      <c r="A3238" s="182"/>
      <c r="B3238" s="182" t="s">
        <v>8955</v>
      </c>
      <c r="C3238" s="183"/>
    </row>
    <row r="3239" spans="1:3" x14ac:dyDescent="0.25">
      <c r="A3239" s="62" t="s">
        <v>7004</v>
      </c>
      <c r="B3239" s="63" t="s">
        <v>7005</v>
      </c>
      <c r="C3239" s="79" t="s">
        <v>8819</v>
      </c>
    </row>
    <row r="3240" spans="1:3" ht="31.5" x14ac:dyDescent="0.25">
      <c r="A3240" s="62" t="s">
        <v>7006</v>
      </c>
      <c r="B3240" s="63" t="s">
        <v>7007</v>
      </c>
      <c r="C3240" s="79" t="s">
        <v>8767</v>
      </c>
    </row>
    <row r="3241" spans="1:3" ht="18" x14ac:dyDescent="0.25">
      <c r="A3241" s="182"/>
      <c r="B3241" s="182" t="s">
        <v>8956</v>
      </c>
      <c r="C3241" s="183"/>
    </row>
    <row r="3242" spans="1:3" x14ac:dyDescent="0.25">
      <c r="A3242" s="62" t="s">
        <v>7008</v>
      </c>
      <c r="B3242" s="63" t="s">
        <v>7009</v>
      </c>
      <c r="C3242" s="79" t="s">
        <v>8833</v>
      </c>
    </row>
    <row r="3243" spans="1:3" ht="18" x14ac:dyDescent="0.25">
      <c r="A3243" s="182"/>
      <c r="B3243" s="182" t="s">
        <v>8957</v>
      </c>
      <c r="C3243" s="183"/>
    </row>
    <row r="3244" spans="1:3" x14ac:dyDescent="0.25">
      <c r="A3244" s="62" t="s">
        <v>7010</v>
      </c>
      <c r="B3244" s="63" t="s">
        <v>7011</v>
      </c>
      <c r="C3244" s="79" t="s">
        <v>8958</v>
      </c>
    </row>
    <row r="3245" spans="1:3" ht="18" x14ac:dyDescent="0.25">
      <c r="A3245" s="182"/>
      <c r="B3245" s="182" t="s">
        <v>8959</v>
      </c>
      <c r="C3245" s="183"/>
    </row>
    <row r="3246" spans="1:3" x14ac:dyDescent="0.25">
      <c r="A3246" s="62" t="s">
        <v>7012</v>
      </c>
      <c r="B3246" s="63" t="s">
        <v>7013</v>
      </c>
      <c r="C3246" s="79" t="s">
        <v>8708</v>
      </c>
    </row>
    <row r="3247" spans="1:3" ht="18" x14ac:dyDescent="0.25">
      <c r="A3247" s="182"/>
      <c r="B3247" s="182" t="s">
        <v>8960</v>
      </c>
      <c r="C3247" s="183"/>
    </row>
    <row r="3248" spans="1:3" x14ac:dyDescent="0.25">
      <c r="A3248" s="62" t="s">
        <v>7014</v>
      </c>
      <c r="B3248" s="63" t="s">
        <v>7015</v>
      </c>
      <c r="C3248" s="79" t="s">
        <v>8961</v>
      </c>
    </row>
    <row r="3249" spans="1:3" ht="18" x14ac:dyDescent="0.25">
      <c r="A3249" s="182"/>
      <c r="B3249" s="182" t="s">
        <v>8962</v>
      </c>
      <c r="C3249" s="183"/>
    </row>
    <row r="3250" spans="1:3" x14ac:dyDescent="0.25">
      <c r="A3250" s="62" t="s">
        <v>7016</v>
      </c>
      <c r="B3250" s="63" t="s">
        <v>7017</v>
      </c>
      <c r="C3250" s="79" t="s">
        <v>8708</v>
      </c>
    </row>
    <row r="3251" spans="1:3" ht="18" x14ac:dyDescent="0.25">
      <c r="A3251" s="182"/>
      <c r="B3251" s="182" t="s">
        <v>8963</v>
      </c>
      <c r="C3251" s="183"/>
    </row>
    <row r="3252" spans="1:3" x14ac:dyDescent="0.25">
      <c r="A3252" s="62" t="s">
        <v>7018</v>
      </c>
      <c r="B3252" s="63" t="s">
        <v>7019</v>
      </c>
      <c r="C3252" s="79" t="s">
        <v>8732</v>
      </c>
    </row>
    <row r="3253" spans="1:3" x14ac:dyDescent="0.25">
      <c r="A3253" s="62" t="s">
        <v>7020</v>
      </c>
      <c r="B3253" s="63" t="s">
        <v>7021</v>
      </c>
      <c r="C3253" s="79" t="s">
        <v>8732</v>
      </c>
    </row>
    <row r="3254" spans="1:3" ht="18" x14ac:dyDescent="0.25">
      <c r="A3254" s="182"/>
      <c r="B3254" s="182" t="s">
        <v>8964</v>
      </c>
      <c r="C3254" s="183"/>
    </row>
    <row r="3255" spans="1:3" x14ac:dyDescent="0.25">
      <c r="A3255" s="62" t="s">
        <v>7022</v>
      </c>
      <c r="B3255" s="63" t="s">
        <v>7023</v>
      </c>
      <c r="C3255" s="79" t="s">
        <v>8792</v>
      </c>
    </row>
    <row r="3256" spans="1:3" x14ac:dyDescent="0.25">
      <c r="A3256" s="62" t="s">
        <v>7024</v>
      </c>
      <c r="B3256" s="63" t="s">
        <v>7025</v>
      </c>
      <c r="C3256" s="79" t="s">
        <v>8792</v>
      </c>
    </row>
    <row r="3257" spans="1:3" x14ac:dyDescent="0.25">
      <c r="A3257" s="62" t="s">
        <v>7026</v>
      </c>
      <c r="B3257" s="63" t="s">
        <v>7027</v>
      </c>
      <c r="C3257" s="79" t="s">
        <v>8874</v>
      </c>
    </row>
    <row r="3258" spans="1:3" x14ac:dyDescent="0.25">
      <c r="A3258" s="62" t="s">
        <v>7028</v>
      </c>
      <c r="B3258" s="63" t="s">
        <v>7029</v>
      </c>
      <c r="C3258" s="79" t="s">
        <v>8819</v>
      </c>
    </row>
    <row r="3259" spans="1:3" ht="18" x14ac:dyDescent="0.25">
      <c r="A3259" s="182"/>
      <c r="B3259" s="182" t="s">
        <v>8965</v>
      </c>
      <c r="C3259" s="183"/>
    </row>
    <row r="3260" spans="1:3" x14ac:dyDescent="0.25">
      <c r="A3260" s="62" t="s">
        <v>7030</v>
      </c>
      <c r="B3260" s="63" t="s">
        <v>7031</v>
      </c>
      <c r="C3260" s="79" t="s">
        <v>8686</v>
      </c>
    </row>
    <row r="3261" spans="1:3" x14ac:dyDescent="0.25">
      <c r="A3261" s="62" t="s">
        <v>7032</v>
      </c>
      <c r="B3261" s="63" t="s">
        <v>7031</v>
      </c>
      <c r="C3261" s="79" t="s">
        <v>8686</v>
      </c>
    </row>
    <row r="3262" spans="1:3" ht="18" x14ac:dyDescent="0.25">
      <c r="A3262" s="182"/>
      <c r="B3262" s="182" t="s">
        <v>8966</v>
      </c>
      <c r="C3262" s="183"/>
    </row>
    <row r="3263" spans="1:3" x14ac:dyDescent="0.25">
      <c r="A3263" s="62" t="s">
        <v>7033</v>
      </c>
      <c r="B3263" s="63" t="s">
        <v>7034</v>
      </c>
      <c r="C3263" s="79" t="s">
        <v>8774</v>
      </c>
    </row>
    <row r="3264" spans="1:3" x14ac:dyDescent="0.25">
      <c r="A3264" s="62" t="s">
        <v>7035</v>
      </c>
      <c r="B3264" s="63" t="s">
        <v>7036</v>
      </c>
      <c r="C3264" s="79" t="s">
        <v>8774</v>
      </c>
    </row>
    <row r="3265" spans="1:3" x14ac:dyDescent="0.25">
      <c r="A3265" s="62" t="s">
        <v>7037</v>
      </c>
      <c r="B3265" s="63" t="s">
        <v>7038</v>
      </c>
      <c r="C3265" s="79" t="s">
        <v>8682</v>
      </c>
    </row>
    <row r="3266" spans="1:3" x14ac:dyDescent="0.25">
      <c r="A3266" s="62" t="s">
        <v>7039</v>
      </c>
      <c r="B3266" s="63" t="s">
        <v>7040</v>
      </c>
      <c r="C3266" s="79" t="s">
        <v>8740</v>
      </c>
    </row>
    <row r="3267" spans="1:3" ht="18" x14ac:dyDescent="0.25">
      <c r="A3267" s="182"/>
      <c r="B3267" s="182" t="s">
        <v>8967</v>
      </c>
      <c r="C3267" s="183"/>
    </row>
    <row r="3268" spans="1:3" x14ac:dyDescent="0.25">
      <c r="A3268" s="62" t="s">
        <v>7041</v>
      </c>
      <c r="B3268" s="63" t="s">
        <v>7042</v>
      </c>
      <c r="C3268" s="79" t="s">
        <v>8915</v>
      </c>
    </row>
    <row r="3269" spans="1:3" ht="18" x14ac:dyDescent="0.25">
      <c r="A3269" s="182"/>
      <c r="B3269" s="182" t="s">
        <v>8968</v>
      </c>
      <c r="C3269" s="183"/>
    </row>
    <row r="3270" spans="1:3" x14ac:dyDescent="0.25">
      <c r="A3270" s="62" t="s">
        <v>7043</v>
      </c>
      <c r="B3270" s="63" t="s">
        <v>7044</v>
      </c>
      <c r="C3270" s="79" t="s">
        <v>8815</v>
      </c>
    </row>
    <row r="3271" spans="1:3" ht="18" x14ac:dyDescent="0.25">
      <c r="A3271" s="182"/>
      <c r="B3271" s="182" t="s">
        <v>8969</v>
      </c>
      <c r="C3271" s="183"/>
    </row>
    <row r="3272" spans="1:3" x14ac:dyDescent="0.25">
      <c r="A3272" s="62" t="s">
        <v>7045</v>
      </c>
      <c r="B3272" s="63" t="s">
        <v>7046</v>
      </c>
      <c r="C3272" s="79" t="s">
        <v>8970</v>
      </c>
    </row>
    <row r="3273" spans="1:3" x14ac:dyDescent="0.25">
      <c r="A3273" s="62" t="s">
        <v>7047</v>
      </c>
      <c r="B3273" s="63" t="s">
        <v>7048</v>
      </c>
      <c r="C3273" s="79" t="s">
        <v>8970</v>
      </c>
    </row>
    <row r="3274" spans="1:3" x14ac:dyDescent="0.25">
      <c r="A3274" s="62" t="s">
        <v>7049</v>
      </c>
      <c r="B3274" s="63" t="s">
        <v>7050</v>
      </c>
      <c r="C3274" s="79" t="s">
        <v>8970</v>
      </c>
    </row>
    <row r="3275" spans="1:3" x14ac:dyDescent="0.25">
      <c r="A3275" s="62" t="s">
        <v>7051</v>
      </c>
      <c r="B3275" s="63" t="s">
        <v>7052</v>
      </c>
      <c r="C3275" s="79" t="s">
        <v>8970</v>
      </c>
    </row>
    <row r="3276" spans="1:3" ht="18" x14ac:dyDescent="0.25">
      <c r="A3276" s="182"/>
      <c r="B3276" s="182" t="s">
        <v>8971</v>
      </c>
      <c r="C3276" s="183"/>
    </row>
    <row r="3277" spans="1:3" x14ac:dyDescent="0.25">
      <c r="A3277" s="62" t="s">
        <v>7053</v>
      </c>
      <c r="B3277" s="63" t="s">
        <v>7054</v>
      </c>
      <c r="C3277" s="79" t="s">
        <v>8732</v>
      </c>
    </row>
    <row r="3278" spans="1:3" ht="18" x14ac:dyDescent="0.25">
      <c r="A3278" s="182"/>
      <c r="B3278" s="182" t="s">
        <v>8972</v>
      </c>
      <c r="C3278" s="183"/>
    </row>
    <row r="3279" spans="1:3" x14ac:dyDescent="0.25">
      <c r="A3279" s="62" t="s">
        <v>7055</v>
      </c>
      <c r="B3279" s="63" t="s">
        <v>7056</v>
      </c>
      <c r="C3279" s="79" t="s">
        <v>8777</v>
      </c>
    </row>
    <row r="3280" spans="1:3" ht="18" x14ac:dyDescent="0.25">
      <c r="A3280" s="182"/>
      <c r="B3280" s="182" t="s">
        <v>8973</v>
      </c>
      <c r="C3280" s="183"/>
    </row>
    <row r="3281" spans="1:3" x14ac:dyDescent="0.25">
      <c r="A3281" s="62" t="s">
        <v>7057</v>
      </c>
      <c r="B3281" s="63" t="s">
        <v>7058</v>
      </c>
      <c r="C3281" s="79" t="s">
        <v>8819</v>
      </c>
    </row>
    <row r="3282" spans="1:3" ht="18" x14ac:dyDescent="0.25">
      <c r="A3282" s="182"/>
      <c r="B3282" s="182" t="s">
        <v>8974</v>
      </c>
      <c r="C3282" s="183"/>
    </row>
    <row r="3283" spans="1:3" x14ac:dyDescent="0.25">
      <c r="A3283" s="62" t="s">
        <v>7059</v>
      </c>
      <c r="B3283" s="63" t="s">
        <v>7060</v>
      </c>
      <c r="C3283" s="79" t="s">
        <v>8732</v>
      </c>
    </row>
    <row r="3284" spans="1:3" ht="18" x14ac:dyDescent="0.25">
      <c r="A3284" s="182"/>
      <c r="B3284" s="182" t="s">
        <v>8975</v>
      </c>
      <c r="C3284" s="183"/>
    </row>
    <row r="3285" spans="1:3" x14ac:dyDescent="0.25">
      <c r="A3285" s="62" t="s">
        <v>7061</v>
      </c>
      <c r="B3285" s="63" t="s">
        <v>7062</v>
      </c>
      <c r="C3285" s="79" t="s">
        <v>8732</v>
      </c>
    </row>
    <row r="3286" spans="1:3" ht="18" x14ac:dyDescent="0.25">
      <c r="A3286" s="182"/>
      <c r="B3286" s="182" t="s">
        <v>8976</v>
      </c>
      <c r="C3286" s="183"/>
    </row>
    <row r="3287" spans="1:3" x14ac:dyDescent="0.25">
      <c r="A3287" s="62" t="s">
        <v>7063</v>
      </c>
      <c r="B3287" s="63" t="s">
        <v>7064</v>
      </c>
      <c r="C3287" s="79" t="s">
        <v>8792</v>
      </c>
    </row>
    <row r="3288" spans="1:3" ht="18" x14ac:dyDescent="0.25">
      <c r="A3288" s="182"/>
      <c r="B3288" s="182" t="s">
        <v>7065</v>
      </c>
      <c r="C3288" s="183"/>
    </row>
    <row r="3289" spans="1:3" x14ac:dyDescent="0.25">
      <c r="A3289" s="62" t="s">
        <v>7066</v>
      </c>
      <c r="B3289" s="63" t="s">
        <v>7067</v>
      </c>
      <c r="C3289" s="79" t="s">
        <v>8815</v>
      </c>
    </row>
    <row r="3290" spans="1:3" x14ac:dyDescent="0.25">
      <c r="A3290" s="62" t="s">
        <v>7068</v>
      </c>
      <c r="B3290" s="63" t="s">
        <v>7065</v>
      </c>
      <c r="C3290" s="79" t="s">
        <v>8792</v>
      </c>
    </row>
    <row r="3291" spans="1:3" ht="18" x14ac:dyDescent="0.25">
      <c r="A3291" s="182"/>
      <c r="B3291" s="182" t="s">
        <v>8977</v>
      </c>
      <c r="C3291" s="183"/>
    </row>
    <row r="3292" spans="1:3" x14ac:dyDescent="0.25">
      <c r="A3292" s="62" t="s">
        <v>7069</v>
      </c>
      <c r="B3292" s="63" t="s">
        <v>7070</v>
      </c>
      <c r="C3292" s="79" t="s">
        <v>8732</v>
      </c>
    </row>
    <row r="3293" spans="1:3" ht="18" x14ac:dyDescent="0.25">
      <c r="A3293" s="182"/>
      <c r="B3293" s="182" t="s">
        <v>8978</v>
      </c>
      <c r="C3293" s="183"/>
    </row>
    <row r="3294" spans="1:3" x14ac:dyDescent="0.25">
      <c r="A3294" s="62" t="s">
        <v>7071</v>
      </c>
      <c r="B3294" s="63" t="s">
        <v>7072</v>
      </c>
      <c r="C3294" s="79" t="s">
        <v>8738</v>
      </c>
    </row>
    <row r="3295" spans="1:3" ht="18" x14ac:dyDescent="0.25">
      <c r="A3295" s="182"/>
      <c r="B3295" s="182" t="s">
        <v>8979</v>
      </c>
      <c r="C3295" s="183"/>
    </row>
    <row r="3296" spans="1:3" ht="31.5" x14ac:dyDescent="0.25">
      <c r="A3296" s="62" t="s">
        <v>7073</v>
      </c>
      <c r="B3296" s="63" t="s">
        <v>7074</v>
      </c>
      <c r="C3296" s="79" t="s">
        <v>8980</v>
      </c>
    </row>
    <row r="3297" spans="1:3" ht="31.5" x14ac:dyDescent="0.25">
      <c r="A3297" s="62" t="s">
        <v>7075</v>
      </c>
      <c r="B3297" s="63" t="s">
        <v>7076</v>
      </c>
      <c r="C3297" s="79" t="s">
        <v>8981</v>
      </c>
    </row>
    <row r="3298" spans="1:3" ht="31.5" x14ac:dyDescent="0.25">
      <c r="A3298" s="62" t="s">
        <v>7077</v>
      </c>
      <c r="B3298" s="63" t="s">
        <v>7078</v>
      </c>
      <c r="C3298" s="79" t="s">
        <v>8903</v>
      </c>
    </row>
    <row r="3299" spans="1:3" ht="31.5" x14ac:dyDescent="0.25">
      <c r="A3299" s="62" t="s">
        <v>7079</v>
      </c>
      <c r="B3299" s="63" t="s">
        <v>7080</v>
      </c>
      <c r="C3299" s="79" t="s">
        <v>8903</v>
      </c>
    </row>
    <row r="3300" spans="1:3" ht="31.5" x14ac:dyDescent="0.25">
      <c r="A3300" s="62" t="s">
        <v>7081</v>
      </c>
      <c r="B3300" s="63" t="s">
        <v>7082</v>
      </c>
      <c r="C3300" s="79" t="s">
        <v>8903</v>
      </c>
    </row>
    <row r="3301" spans="1:3" ht="31.5" x14ac:dyDescent="0.25">
      <c r="A3301" s="62" t="s">
        <v>7083</v>
      </c>
      <c r="B3301" s="63" t="s">
        <v>7084</v>
      </c>
      <c r="C3301" s="79" t="s">
        <v>8903</v>
      </c>
    </row>
    <row r="3302" spans="1:3" ht="18" x14ac:dyDescent="0.25">
      <c r="A3302" s="182"/>
      <c r="B3302" s="182" t="s">
        <v>8982</v>
      </c>
      <c r="C3302" s="183"/>
    </row>
    <row r="3303" spans="1:3" x14ac:dyDescent="0.25">
      <c r="A3303" s="62" t="s">
        <v>7085</v>
      </c>
      <c r="B3303" s="63" t="s">
        <v>7086</v>
      </c>
      <c r="C3303" s="79" t="s">
        <v>8741</v>
      </c>
    </row>
    <row r="3304" spans="1:3" x14ac:dyDescent="0.25">
      <c r="A3304" s="62" t="s">
        <v>7087</v>
      </c>
      <c r="B3304" s="63" t="s">
        <v>7088</v>
      </c>
      <c r="C3304" s="79" t="s">
        <v>8715</v>
      </c>
    </row>
    <row r="3305" spans="1:3" ht="47.25" x14ac:dyDescent="0.25">
      <c r="A3305" s="62" t="s">
        <v>7089</v>
      </c>
      <c r="B3305" s="63" t="s">
        <v>7090</v>
      </c>
      <c r="C3305" s="79" t="s">
        <v>8746</v>
      </c>
    </row>
    <row r="3306" spans="1:3" ht="47.25" x14ac:dyDescent="0.25">
      <c r="A3306" s="62" t="s">
        <v>7091</v>
      </c>
      <c r="B3306" s="63" t="s">
        <v>7092</v>
      </c>
      <c r="C3306" s="79" t="s">
        <v>8746</v>
      </c>
    </row>
    <row r="3307" spans="1:3" ht="31.5" x14ac:dyDescent="0.25">
      <c r="A3307" s="62" t="s">
        <v>7093</v>
      </c>
      <c r="B3307" s="63" t="s">
        <v>7094</v>
      </c>
      <c r="C3307" s="79" t="s">
        <v>8983</v>
      </c>
    </row>
    <row r="3308" spans="1:3" ht="31.5" x14ac:dyDescent="0.25">
      <c r="A3308" s="62" t="s">
        <v>7095</v>
      </c>
      <c r="B3308" s="63" t="s">
        <v>7096</v>
      </c>
      <c r="C3308" s="79" t="s">
        <v>8582</v>
      </c>
    </row>
    <row r="3309" spans="1:3" ht="31.5" x14ac:dyDescent="0.25">
      <c r="A3309" s="62" t="s">
        <v>7097</v>
      </c>
      <c r="B3309" s="63" t="s">
        <v>7098</v>
      </c>
      <c r="C3309" s="79" t="s">
        <v>8746</v>
      </c>
    </row>
    <row r="3310" spans="1:3" ht="31.5" x14ac:dyDescent="0.25">
      <c r="A3310" s="62" t="s">
        <v>7099</v>
      </c>
      <c r="B3310" s="63" t="s">
        <v>7100</v>
      </c>
      <c r="C3310" s="79" t="s">
        <v>8746</v>
      </c>
    </row>
    <row r="3311" spans="1:3" ht="31.5" x14ac:dyDescent="0.25">
      <c r="A3311" s="62" t="s">
        <v>7101</v>
      </c>
      <c r="B3311" s="63" t="s">
        <v>7102</v>
      </c>
      <c r="C3311" s="79" t="s">
        <v>8746</v>
      </c>
    </row>
    <row r="3312" spans="1:3" ht="31.5" x14ac:dyDescent="0.25">
      <c r="A3312" s="62" t="s">
        <v>7103</v>
      </c>
      <c r="B3312" s="63" t="s">
        <v>7104</v>
      </c>
      <c r="C3312" s="79" t="s">
        <v>8746</v>
      </c>
    </row>
    <row r="3313" spans="1:3" ht="31.5" x14ac:dyDescent="0.25">
      <c r="A3313" s="62" t="s">
        <v>7105</v>
      </c>
      <c r="B3313" s="63" t="s">
        <v>7106</v>
      </c>
      <c r="C3313" s="79" t="s">
        <v>8746</v>
      </c>
    </row>
    <row r="3314" spans="1:3" ht="31.5" x14ac:dyDescent="0.25">
      <c r="A3314" s="62" t="s">
        <v>7107</v>
      </c>
      <c r="B3314" s="63" t="s">
        <v>7108</v>
      </c>
      <c r="C3314" s="79" t="s">
        <v>8746</v>
      </c>
    </row>
    <row r="3315" spans="1:3" ht="31.5" x14ac:dyDescent="0.25">
      <c r="A3315" s="62" t="s">
        <v>7109</v>
      </c>
      <c r="B3315" s="63" t="s">
        <v>7110</v>
      </c>
      <c r="C3315" s="79" t="s">
        <v>8746</v>
      </c>
    </row>
    <row r="3316" spans="1:3" ht="31.5" x14ac:dyDescent="0.25">
      <c r="A3316" s="62" t="s">
        <v>7111</v>
      </c>
      <c r="B3316" s="63" t="s">
        <v>7112</v>
      </c>
      <c r="C3316" s="79" t="s">
        <v>8746</v>
      </c>
    </row>
    <row r="3317" spans="1:3" ht="31.5" x14ac:dyDescent="0.25">
      <c r="A3317" s="62" t="s">
        <v>7113</v>
      </c>
      <c r="B3317" s="63" t="s">
        <v>7114</v>
      </c>
      <c r="C3317" s="79" t="s">
        <v>8983</v>
      </c>
    </row>
    <row r="3318" spans="1:3" ht="31.5" x14ac:dyDescent="0.25">
      <c r="A3318" s="62" t="s">
        <v>7115</v>
      </c>
      <c r="B3318" s="63" t="s">
        <v>7116</v>
      </c>
      <c r="C3318" s="79" t="s">
        <v>8983</v>
      </c>
    </row>
    <row r="3319" spans="1:3" ht="31.5" x14ac:dyDescent="0.25">
      <c r="A3319" s="62" t="s">
        <v>7117</v>
      </c>
      <c r="B3319" s="63" t="s">
        <v>7118</v>
      </c>
      <c r="C3319" s="79" t="s">
        <v>8746</v>
      </c>
    </row>
    <row r="3320" spans="1:3" ht="31.5" x14ac:dyDescent="0.25">
      <c r="A3320" s="62" t="s">
        <v>7119</v>
      </c>
      <c r="B3320" s="63" t="s">
        <v>7120</v>
      </c>
      <c r="C3320" s="79" t="s">
        <v>8746</v>
      </c>
    </row>
    <row r="3321" spans="1:3" ht="31.5" x14ac:dyDescent="0.25">
      <c r="A3321" s="62" t="s">
        <v>7121</v>
      </c>
      <c r="B3321" s="63" t="s">
        <v>7122</v>
      </c>
      <c r="C3321" s="79" t="s">
        <v>8409</v>
      </c>
    </row>
    <row r="3322" spans="1:3" ht="31.5" x14ac:dyDescent="0.25">
      <c r="A3322" s="62" t="s">
        <v>7123</v>
      </c>
      <c r="B3322" s="63" t="s">
        <v>7124</v>
      </c>
      <c r="C3322" s="79" t="s">
        <v>8409</v>
      </c>
    </row>
    <row r="3323" spans="1:3" ht="31.5" x14ac:dyDescent="0.25">
      <c r="A3323" s="62" t="s">
        <v>7125</v>
      </c>
      <c r="B3323" s="63" t="s">
        <v>7126</v>
      </c>
      <c r="C3323" s="79" t="s">
        <v>8746</v>
      </c>
    </row>
    <row r="3324" spans="1:3" ht="31.5" x14ac:dyDescent="0.25">
      <c r="A3324" s="62" t="s">
        <v>7127</v>
      </c>
      <c r="B3324" s="63" t="s">
        <v>7128</v>
      </c>
      <c r="C3324" s="79" t="s">
        <v>8746</v>
      </c>
    </row>
    <row r="3325" spans="1:3" ht="31.5" x14ac:dyDescent="0.25">
      <c r="A3325" s="62" t="s">
        <v>7129</v>
      </c>
      <c r="B3325" s="63" t="s">
        <v>7130</v>
      </c>
      <c r="C3325" s="79" t="s">
        <v>8746</v>
      </c>
    </row>
    <row r="3326" spans="1:3" ht="31.5" x14ac:dyDescent="0.25">
      <c r="A3326" s="62" t="s">
        <v>7131</v>
      </c>
      <c r="B3326" s="63" t="s">
        <v>7132</v>
      </c>
      <c r="C3326" s="79" t="s">
        <v>8746</v>
      </c>
    </row>
    <row r="3327" spans="1:3" ht="31.5" x14ac:dyDescent="0.25">
      <c r="A3327" s="62" t="s">
        <v>7133</v>
      </c>
      <c r="B3327" s="63" t="s">
        <v>7134</v>
      </c>
      <c r="C3327" s="79" t="s">
        <v>8746</v>
      </c>
    </row>
    <row r="3328" spans="1:3" ht="31.5" x14ac:dyDescent="0.25">
      <c r="A3328" s="62" t="s">
        <v>7135</v>
      </c>
      <c r="B3328" s="63" t="s">
        <v>7136</v>
      </c>
      <c r="C3328" s="79" t="s">
        <v>8746</v>
      </c>
    </row>
    <row r="3329" spans="1:3" ht="47.25" x14ac:dyDescent="0.25">
      <c r="A3329" s="62" t="s">
        <v>7137</v>
      </c>
      <c r="B3329" s="63" t="s">
        <v>7138</v>
      </c>
      <c r="C3329" s="79" t="s">
        <v>8983</v>
      </c>
    </row>
    <row r="3330" spans="1:3" ht="47.25" x14ac:dyDescent="0.25">
      <c r="A3330" s="62" t="s">
        <v>7139</v>
      </c>
      <c r="B3330" s="63" t="s">
        <v>7140</v>
      </c>
      <c r="C3330" s="79" t="s">
        <v>8983</v>
      </c>
    </row>
    <row r="3331" spans="1:3" ht="31.5" x14ac:dyDescent="0.25">
      <c r="A3331" s="62" t="s">
        <v>7141</v>
      </c>
      <c r="B3331" s="63" t="s">
        <v>7142</v>
      </c>
      <c r="C3331" s="79" t="s">
        <v>8746</v>
      </c>
    </row>
    <row r="3332" spans="1:3" ht="31.5" x14ac:dyDescent="0.25">
      <c r="A3332" s="62" t="s">
        <v>7143</v>
      </c>
      <c r="B3332" s="63" t="s">
        <v>7144</v>
      </c>
      <c r="C3332" s="79" t="s">
        <v>8746</v>
      </c>
    </row>
    <row r="3333" spans="1:3" ht="31.5" x14ac:dyDescent="0.25">
      <c r="A3333" s="62" t="s">
        <v>7145</v>
      </c>
      <c r="B3333" s="63" t="s">
        <v>7146</v>
      </c>
      <c r="C3333" s="79" t="s">
        <v>8746</v>
      </c>
    </row>
    <row r="3334" spans="1:3" ht="31.5" x14ac:dyDescent="0.25">
      <c r="A3334" s="62" t="s">
        <v>7147</v>
      </c>
      <c r="B3334" s="63" t="s">
        <v>7148</v>
      </c>
      <c r="C3334" s="79" t="s">
        <v>8746</v>
      </c>
    </row>
    <row r="3335" spans="1:3" ht="31.5" x14ac:dyDescent="0.25">
      <c r="A3335" s="62" t="s">
        <v>7149</v>
      </c>
      <c r="B3335" s="63" t="s">
        <v>7150</v>
      </c>
      <c r="C3335" s="79" t="s">
        <v>8746</v>
      </c>
    </row>
    <row r="3336" spans="1:3" ht="31.5" x14ac:dyDescent="0.25">
      <c r="A3336" s="62" t="s">
        <v>7151</v>
      </c>
      <c r="B3336" s="63" t="s">
        <v>7152</v>
      </c>
      <c r="C3336" s="79" t="s">
        <v>8746</v>
      </c>
    </row>
    <row r="3337" spans="1:3" ht="31.5" x14ac:dyDescent="0.25">
      <c r="A3337" s="62" t="s">
        <v>7153</v>
      </c>
      <c r="B3337" s="63" t="s">
        <v>7154</v>
      </c>
      <c r="C3337" s="79" t="s">
        <v>8746</v>
      </c>
    </row>
    <row r="3338" spans="1:3" ht="31.5" x14ac:dyDescent="0.25">
      <c r="A3338" s="62" t="s">
        <v>7155</v>
      </c>
      <c r="B3338" s="63" t="s">
        <v>7156</v>
      </c>
      <c r="C3338" s="79" t="s">
        <v>8746</v>
      </c>
    </row>
    <row r="3339" spans="1:3" x14ac:dyDescent="0.25">
      <c r="A3339" s="62" t="s">
        <v>7157</v>
      </c>
      <c r="B3339" s="63" t="s">
        <v>7158</v>
      </c>
      <c r="C3339" s="79" t="s">
        <v>8777</v>
      </c>
    </row>
    <row r="3340" spans="1:3" x14ac:dyDescent="0.25">
      <c r="A3340" s="62" t="s">
        <v>7159</v>
      </c>
      <c r="B3340" s="63" t="s">
        <v>7160</v>
      </c>
      <c r="C3340" s="79" t="s">
        <v>8777</v>
      </c>
    </row>
    <row r="3341" spans="1:3" ht="18" x14ac:dyDescent="0.25">
      <c r="A3341" s="182"/>
      <c r="B3341" s="182" t="s">
        <v>8984</v>
      </c>
      <c r="C3341" s="183"/>
    </row>
    <row r="3342" spans="1:3" x14ac:dyDescent="0.25">
      <c r="A3342" s="62" t="s">
        <v>7161</v>
      </c>
      <c r="B3342" s="63" t="s">
        <v>7162</v>
      </c>
      <c r="C3342" s="79" t="s">
        <v>8834</v>
      </c>
    </row>
    <row r="3343" spans="1:3" x14ac:dyDescent="0.25">
      <c r="A3343" s="62" t="s">
        <v>7163</v>
      </c>
      <c r="B3343" s="63" t="s">
        <v>7164</v>
      </c>
      <c r="C3343" s="79" t="s">
        <v>8834</v>
      </c>
    </row>
    <row r="3344" spans="1:3" x14ac:dyDescent="0.25">
      <c r="A3344" s="62" t="s">
        <v>7165</v>
      </c>
      <c r="B3344" s="63" t="s">
        <v>7166</v>
      </c>
      <c r="C3344" s="79" t="s">
        <v>8834</v>
      </c>
    </row>
    <row r="3345" spans="1:3" ht="18" x14ac:dyDescent="0.25">
      <c r="A3345" s="182"/>
      <c r="B3345" s="182" t="s">
        <v>8985</v>
      </c>
      <c r="C3345" s="183"/>
    </row>
    <row r="3346" spans="1:3" x14ac:dyDescent="0.25">
      <c r="A3346" s="62" t="s">
        <v>7167</v>
      </c>
      <c r="B3346" s="63" t="s">
        <v>7168</v>
      </c>
      <c r="C3346" s="79" t="s">
        <v>8732</v>
      </c>
    </row>
    <row r="3347" spans="1:3" x14ac:dyDescent="0.25">
      <c r="A3347" s="62" t="s">
        <v>7169</v>
      </c>
      <c r="B3347" s="63" t="s">
        <v>7170</v>
      </c>
      <c r="C3347" s="79" t="s">
        <v>8649</v>
      </c>
    </row>
    <row r="3348" spans="1:3" ht="18" x14ac:dyDescent="0.25">
      <c r="A3348" s="182"/>
      <c r="B3348" s="182" t="s">
        <v>8986</v>
      </c>
      <c r="C3348" s="183"/>
    </row>
    <row r="3349" spans="1:3" x14ac:dyDescent="0.25">
      <c r="A3349" s="62" t="s">
        <v>7171</v>
      </c>
      <c r="B3349" s="63" t="s">
        <v>7172</v>
      </c>
      <c r="C3349" s="79" t="s">
        <v>8815</v>
      </c>
    </row>
    <row r="3350" spans="1:3" x14ac:dyDescent="0.25">
      <c r="A3350" s="62" t="s">
        <v>7173</v>
      </c>
      <c r="B3350" s="63" t="s">
        <v>7174</v>
      </c>
      <c r="C3350" s="79" t="s">
        <v>8732</v>
      </c>
    </row>
    <row r="3351" spans="1:3" ht="18" x14ac:dyDescent="0.25">
      <c r="A3351" s="182"/>
      <c r="B3351" s="182" t="s">
        <v>4289</v>
      </c>
      <c r="C3351" s="183"/>
    </row>
    <row r="3352" spans="1:3" x14ac:dyDescent="0.25">
      <c r="A3352" s="62" t="s">
        <v>7175</v>
      </c>
      <c r="B3352" s="63" t="s">
        <v>4289</v>
      </c>
      <c r="C3352" s="79" t="s">
        <v>8770</v>
      </c>
    </row>
    <row r="3353" spans="1:3" ht="18" x14ac:dyDescent="0.25">
      <c r="A3353" s="182"/>
      <c r="B3353" s="182" t="s">
        <v>8987</v>
      </c>
      <c r="C3353" s="183"/>
    </row>
    <row r="3354" spans="1:3" x14ac:dyDescent="0.25">
      <c r="A3354" s="62" t="s">
        <v>7176</v>
      </c>
      <c r="B3354" s="63" t="s">
        <v>7177</v>
      </c>
      <c r="C3354" s="79" t="s">
        <v>8818</v>
      </c>
    </row>
    <row r="3355" spans="1:3" ht="18" x14ac:dyDescent="0.25">
      <c r="A3355" s="182"/>
      <c r="B3355" s="182" t="s">
        <v>8988</v>
      </c>
      <c r="C3355" s="183"/>
    </row>
    <row r="3356" spans="1:3" x14ac:dyDescent="0.25">
      <c r="A3356" s="62" t="s">
        <v>7178</v>
      </c>
      <c r="B3356" s="63" t="s">
        <v>7179</v>
      </c>
      <c r="C3356" s="79" t="s">
        <v>8741</v>
      </c>
    </row>
    <row r="3357" spans="1:3" ht="18" x14ac:dyDescent="0.25">
      <c r="A3357" s="182"/>
      <c r="B3357" s="182" t="s">
        <v>8989</v>
      </c>
      <c r="C3357" s="183"/>
    </row>
    <row r="3358" spans="1:3" x14ac:dyDescent="0.25">
      <c r="A3358" s="62" t="s">
        <v>7180</v>
      </c>
      <c r="B3358" s="63" t="s">
        <v>7181</v>
      </c>
      <c r="C3358" s="79" t="s">
        <v>8990</v>
      </c>
    </row>
    <row r="3359" spans="1:3" x14ac:dyDescent="0.25">
      <c r="A3359" s="62" t="s">
        <v>7182</v>
      </c>
      <c r="B3359" s="63" t="s">
        <v>7183</v>
      </c>
      <c r="C3359" s="79" t="s">
        <v>8839</v>
      </c>
    </row>
    <row r="3360" spans="1:3" ht="18" x14ac:dyDescent="0.25">
      <c r="A3360" s="182"/>
      <c r="B3360" s="182" t="s">
        <v>8991</v>
      </c>
      <c r="C3360" s="183"/>
    </row>
    <row r="3361" spans="1:3" ht="31.5" x14ac:dyDescent="0.25">
      <c r="A3361" s="62" t="s">
        <v>7184</v>
      </c>
      <c r="B3361" s="63" t="s">
        <v>7185</v>
      </c>
      <c r="C3361" s="79" t="s">
        <v>8826</v>
      </c>
    </row>
    <row r="3362" spans="1:3" ht="18" x14ac:dyDescent="0.25">
      <c r="A3362" s="182"/>
      <c r="B3362" s="182" t="s">
        <v>8992</v>
      </c>
      <c r="C3362" s="183"/>
    </row>
    <row r="3363" spans="1:3" x14ac:dyDescent="0.25">
      <c r="A3363" s="62" t="s">
        <v>7186</v>
      </c>
      <c r="B3363" s="63" t="s">
        <v>7187</v>
      </c>
      <c r="C3363" s="79" t="s">
        <v>8700</v>
      </c>
    </row>
    <row r="3364" spans="1:3" ht="18" x14ac:dyDescent="0.25">
      <c r="A3364" s="182"/>
      <c r="B3364" s="182" t="s">
        <v>8993</v>
      </c>
      <c r="C3364" s="183"/>
    </row>
    <row r="3365" spans="1:3" x14ac:dyDescent="0.25">
      <c r="A3365" s="62" t="s">
        <v>7188</v>
      </c>
      <c r="B3365" s="63" t="s">
        <v>7189</v>
      </c>
      <c r="C3365" s="79" t="s">
        <v>8773</v>
      </c>
    </row>
    <row r="3366" spans="1:3" ht="18" x14ac:dyDescent="0.25">
      <c r="A3366" s="182"/>
      <c r="B3366" s="182" t="s">
        <v>8994</v>
      </c>
      <c r="C3366" s="183"/>
    </row>
    <row r="3367" spans="1:3" x14ac:dyDescent="0.25">
      <c r="A3367" s="62" t="s">
        <v>7190</v>
      </c>
      <c r="B3367" s="63" t="s">
        <v>7191</v>
      </c>
      <c r="C3367" s="79" t="s">
        <v>8820</v>
      </c>
    </row>
    <row r="3368" spans="1:3" ht="18" x14ac:dyDescent="0.25">
      <c r="A3368" s="182"/>
      <c r="B3368" s="182" t="s">
        <v>8995</v>
      </c>
      <c r="C3368" s="183"/>
    </row>
    <row r="3369" spans="1:3" x14ac:dyDescent="0.25">
      <c r="A3369" s="62" t="s">
        <v>7192</v>
      </c>
      <c r="B3369" s="63" t="s">
        <v>7193</v>
      </c>
      <c r="C3369" s="79" t="s">
        <v>8847</v>
      </c>
    </row>
    <row r="3370" spans="1:3" ht="18" x14ac:dyDescent="0.25">
      <c r="A3370" s="182"/>
      <c r="B3370" s="182" t="s">
        <v>8996</v>
      </c>
      <c r="C3370" s="183"/>
    </row>
    <row r="3371" spans="1:3" x14ac:dyDescent="0.25">
      <c r="A3371" s="62" t="s">
        <v>7194</v>
      </c>
      <c r="B3371" s="63" t="s">
        <v>7195</v>
      </c>
      <c r="C3371" s="79" t="s">
        <v>8732</v>
      </c>
    </row>
    <row r="3372" spans="1:3" ht="18" x14ac:dyDescent="0.25">
      <c r="A3372" s="182"/>
      <c r="B3372" s="182" t="s">
        <v>8997</v>
      </c>
      <c r="C3372" s="183"/>
    </row>
    <row r="3373" spans="1:3" x14ac:dyDescent="0.25">
      <c r="A3373" s="62" t="s">
        <v>7196</v>
      </c>
      <c r="B3373" s="63" t="s">
        <v>7197</v>
      </c>
      <c r="C3373" s="79" t="s">
        <v>8787</v>
      </c>
    </row>
    <row r="3374" spans="1:3" x14ac:dyDescent="0.25">
      <c r="A3374" s="62" t="s">
        <v>7198</v>
      </c>
      <c r="B3374" s="63" t="s">
        <v>7199</v>
      </c>
      <c r="C3374" s="79" t="s">
        <v>8998</v>
      </c>
    </row>
    <row r="3375" spans="1:3" x14ac:dyDescent="0.25">
      <c r="A3375" s="62" t="s">
        <v>7200</v>
      </c>
      <c r="B3375" s="63" t="s">
        <v>7201</v>
      </c>
      <c r="C3375" s="79" t="s">
        <v>8998</v>
      </c>
    </row>
    <row r="3376" spans="1:3" x14ac:dyDescent="0.25">
      <c r="A3376" s="62" t="s">
        <v>7202</v>
      </c>
      <c r="B3376" s="63" t="s">
        <v>7203</v>
      </c>
      <c r="C3376" s="79" t="s">
        <v>8999</v>
      </c>
    </row>
    <row r="3377" spans="1:3" x14ac:dyDescent="0.25">
      <c r="A3377" s="62" t="s">
        <v>7204</v>
      </c>
      <c r="B3377" s="63" t="s">
        <v>7205</v>
      </c>
      <c r="C3377" s="79" t="s">
        <v>9000</v>
      </c>
    </row>
    <row r="3378" spans="1:3" x14ac:dyDescent="0.25">
      <c r="A3378" s="62" t="s">
        <v>7206</v>
      </c>
      <c r="B3378" s="63" t="s">
        <v>7207</v>
      </c>
      <c r="C3378" s="79" t="s">
        <v>9001</v>
      </c>
    </row>
    <row r="3379" spans="1:3" x14ac:dyDescent="0.25">
      <c r="A3379" s="62" t="s">
        <v>7208</v>
      </c>
      <c r="B3379" s="63" t="s">
        <v>7209</v>
      </c>
      <c r="C3379" s="79" t="s">
        <v>9002</v>
      </c>
    </row>
    <row r="3380" spans="1:3" x14ac:dyDescent="0.25">
      <c r="A3380" s="62" t="s">
        <v>7210</v>
      </c>
      <c r="B3380" s="63" t="s">
        <v>7211</v>
      </c>
      <c r="C3380" s="79" t="s">
        <v>8435</v>
      </c>
    </row>
    <row r="3381" spans="1:3" x14ac:dyDescent="0.25">
      <c r="A3381" s="62" t="s">
        <v>7212</v>
      </c>
      <c r="B3381" s="63" t="s">
        <v>7213</v>
      </c>
      <c r="C3381" s="79" t="s">
        <v>8435</v>
      </c>
    </row>
    <row r="3382" spans="1:3" x14ac:dyDescent="0.25">
      <c r="A3382" s="62" t="s">
        <v>7214</v>
      </c>
      <c r="B3382" s="63" t="s">
        <v>7215</v>
      </c>
      <c r="C3382" s="79" t="s">
        <v>8435</v>
      </c>
    </row>
    <row r="3383" spans="1:3" x14ac:dyDescent="0.25">
      <c r="A3383" s="62" t="s">
        <v>7216</v>
      </c>
      <c r="B3383" s="63" t="s">
        <v>7217</v>
      </c>
      <c r="C3383" s="79" t="s">
        <v>8435</v>
      </c>
    </row>
    <row r="3384" spans="1:3" x14ac:dyDescent="0.25">
      <c r="A3384" s="62" t="s">
        <v>7218</v>
      </c>
      <c r="B3384" s="63" t="s">
        <v>7219</v>
      </c>
      <c r="C3384" s="79" t="s">
        <v>8837</v>
      </c>
    </row>
    <row r="3385" spans="1:3" x14ac:dyDescent="0.25">
      <c r="A3385" s="62" t="s">
        <v>7220</v>
      </c>
      <c r="B3385" s="63" t="s">
        <v>7221</v>
      </c>
      <c r="C3385" s="79" t="s">
        <v>8837</v>
      </c>
    </row>
    <row r="3386" spans="1:3" x14ac:dyDescent="0.25">
      <c r="A3386" s="62" t="s">
        <v>7222</v>
      </c>
      <c r="B3386" s="63" t="s">
        <v>7223</v>
      </c>
      <c r="C3386" s="79" t="s">
        <v>8837</v>
      </c>
    </row>
    <row r="3387" spans="1:3" x14ac:dyDescent="0.25">
      <c r="A3387" s="62" t="s">
        <v>7224</v>
      </c>
      <c r="B3387" s="63" t="s">
        <v>7225</v>
      </c>
      <c r="C3387" s="79" t="s">
        <v>8837</v>
      </c>
    </row>
    <row r="3388" spans="1:3" x14ac:dyDescent="0.25">
      <c r="A3388" s="62" t="s">
        <v>7226</v>
      </c>
      <c r="B3388" s="63" t="s">
        <v>7227</v>
      </c>
      <c r="C3388" s="79" t="s">
        <v>8435</v>
      </c>
    </row>
    <row r="3389" spans="1:3" x14ac:dyDescent="0.25">
      <c r="A3389" s="62" t="s">
        <v>7228</v>
      </c>
      <c r="B3389" s="63" t="s">
        <v>7229</v>
      </c>
      <c r="C3389" s="79" t="s">
        <v>8435</v>
      </c>
    </row>
    <row r="3390" spans="1:3" x14ac:dyDescent="0.25">
      <c r="A3390" s="62" t="s">
        <v>7230</v>
      </c>
      <c r="B3390" s="63" t="s">
        <v>7231</v>
      </c>
      <c r="C3390" s="79" t="s">
        <v>8435</v>
      </c>
    </row>
    <row r="3391" spans="1:3" x14ac:dyDescent="0.25">
      <c r="A3391" s="62" t="s">
        <v>7232</v>
      </c>
      <c r="B3391" s="63" t="s">
        <v>7233</v>
      </c>
      <c r="C3391" s="79" t="s">
        <v>8435</v>
      </c>
    </row>
    <row r="3392" spans="1:3" x14ac:dyDescent="0.25">
      <c r="A3392" s="62" t="s">
        <v>7234</v>
      </c>
      <c r="B3392" s="63" t="s">
        <v>7235</v>
      </c>
      <c r="C3392" s="79" t="s">
        <v>8738</v>
      </c>
    </row>
    <row r="3393" spans="1:3" x14ac:dyDescent="0.25">
      <c r="A3393" s="62" t="s">
        <v>7236</v>
      </c>
      <c r="B3393" s="63" t="s">
        <v>7237</v>
      </c>
      <c r="C3393" s="79" t="s">
        <v>8738</v>
      </c>
    </row>
    <row r="3394" spans="1:3" x14ac:dyDescent="0.25">
      <c r="A3394" s="62" t="s">
        <v>7238</v>
      </c>
      <c r="B3394" s="63" t="s">
        <v>7239</v>
      </c>
      <c r="C3394" s="79" t="s">
        <v>8738</v>
      </c>
    </row>
    <row r="3395" spans="1:3" x14ac:dyDescent="0.25">
      <c r="A3395" s="62" t="s">
        <v>7240</v>
      </c>
      <c r="B3395" s="63" t="s">
        <v>7241</v>
      </c>
      <c r="C3395" s="79" t="s">
        <v>8738</v>
      </c>
    </row>
    <row r="3396" spans="1:3" x14ac:dyDescent="0.25">
      <c r="A3396" s="62" t="s">
        <v>7242</v>
      </c>
      <c r="B3396" s="63" t="s">
        <v>7243</v>
      </c>
      <c r="C3396" s="79" t="s">
        <v>9003</v>
      </c>
    </row>
    <row r="3397" spans="1:3" x14ac:dyDescent="0.25">
      <c r="A3397" s="62" t="s">
        <v>7244</v>
      </c>
      <c r="B3397" s="63" t="s">
        <v>7245</v>
      </c>
      <c r="C3397" s="79" t="s">
        <v>9003</v>
      </c>
    </row>
    <row r="3398" spans="1:3" x14ac:dyDescent="0.25">
      <c r="A3398" s="62" t="s">
        <v>7246</v>
      </c>
      <c r="B3398" s="63" t="s">
        <v>7247</v>
      </c>
      <c r="C3398" s="79" t="s">
        <v>9003</v>
      </c>
    </row>
    <row r="3399" spans="1:3" x14ac:dyDescent="0.25">
      <c r="A3399" s="62" t="s">
        <v>7248</v>
      </c>
      <c r="B3399" s="63" t="s">
        <v>7249</v>
      </c>
      <c r="C3399" s="79" t="s">
        <v>9003</v>
      </c>
    </row>
    <row r="3400" spans="1:3" x14ac:dyDescent="0.25">
      <c r="A3400" s="62" t="s">
        <v>7250</v>
      </c>
      <c r="B3400" s="63" t="s">
        <v>7251</v>
      </c>
      <c r="C3400" s="79" t="s">
        <v>9003</v>
      </c>
    </row>
    <row r="3401" spans="1:3" x14ac:dyDescent="0.25">
      <c r="A3401" s="62" t="s">
        <v>7252</v>
      </c>
      <c r="B3401" s="63" t="s">
        <v>7253</v>
      </c>
      <c r="C3401" s="79" t="s">
        <v>9003</v>
      </c>
    </row>
    <row r="3402" spans="1:3" x14ac:dyDescent="0.25">
      <c r="A3402" s="62" t="s">
        <v>7254</v>
      </c>
      <c r="B3402" s="63" t="s">
        <v>7255</v>
      </c>
      <c r="C3402" s="79" t="s">
        <v>9003</v>
      </c>
    </row>
    <row r="3403" spans="1:3" x14ac:dyDescent="0.25">
      <c r="A3403" s="62" t="s">
        <v>7256</v>
      </c>
      <c r="B3403" s="63" t="s">
        <v>7257</v>
      </c>
      <c r="C3403" s="79" t="s">
        <v>9003</v>
      </c>
    </row>
    <row r="3404" spans="1:3" x14ac:dyDescent="0.25">
      <c r="A3404" s="62" t="s">
        <v>7258</v>
      </c>
      <c r="B3404" s="63" t="s">
        <v>7259</v>
      </c>
      <c r="C3404" s="79" t="s">
        <v>9003</v>
      </c>
    </row>
    <row r="3405" spans="1:3" x14ac:dyDescent="0.25">
      <c r="A3405" s="62" t="s">
        <v>7260</v>
      </c>
      <c r="B3405" s="63" t="s">
        <v>7261</v>
      </c>
      <c r="C3405" s="79" t="s">
        <v>8481</v>
      </c>
    </row>
    <row r="3406" spans="1:3" x14ac:dyDescent="0.25">
      <c r="A3406" s="62" t="s">
        <v>7262</v>
      </c>
      <c r="B3406" s="63" t="s">
        <v>7263</v>
      </c>
      <c r="C3406" s="79" t="s">
        <v>8481</v>
      </c>
    </row>
    <row r="3407" spans="1:3" x14ac:dyDescent="0.25">
      <c r="A3407" s="62" t="s">
        <v>7264</v>
      </c>
      <c r="B3407" s="63" t="s">
        <v>7265</v>
      </c>
      <c r="C3407" s="79" t="s">
        <v>8481</v>
      </c>
    </row>
    <row r="3408" spans="1:3" x14ac:dyDescent="0.25">
      <c r="A3408" s="62" t="s">
        <v>7266</v>
      </c>
      <c r="B3408" s="63" t="s">
        <v>7267</v>
      </c>
      <c r="C3408" s="79" t="s">
        <v>8481</v>
      </c>
    </row>
    <row r="3409" spans="1:3" x14ac:dyDescent="0.25">
      <c r="A3409" s="62" t="s">
        <v>7268</v>
      </c>
      <c r="B3409" s="63" t="s">
        <v>7269</v>
      </c>
      <c r="C3409" s="79" t="s">
        <v>8481</v>
      </c>
    </row>
    <row r="3410" spans="1:3" x14ac:dyDescent="0.25">
      <c r="A3410" s="62" t="s">
        <v>7270</v>
      </c>
      <c r="B3410" s="63" t="s">
        <v>7271</v>
      </c>
      <c r="C3410" s="79" t="s">
        <v>8481</v>
      </c>
    </row>
    <row r="3411" spans="1:3" x14ac:dyDescent="0.25">
      <c r="A3411" s="62" t="s">
        <v>7272</v>
      </c>
      <c r="B3411" s="63" t="s">
        <v>7273</v>
      </c>
      <c r="C3411" s="79" t="s">
        <v>8481</v>
      </c>
    </row>
    <row r="3412" spans="1:3" x14ac:dyDescent="0.25">
      <c r="A3412" s="62" t="s">
        <v>7274</v>
      </c>
      <c r="B3412" s="63" t="s">
        <v>7275</v>
      </c>
      <c r="C3412" s="79" t="s">
        <v>8481</v>
      </c>
    </row>
    <row r="3413" spans="1:3" x14ac:dyDescent="0.25">
      <c r="A3413" s="62" t="s">
        <v>7276</v>
      </c>
      <c r="B3413" s="63" t="s">
        <v>7277</v>
      </c>
      <c r="C3413" s="79" t="s">
        <v>8481</v>
      </c>
    </row>
    <row r="3414" spans="1:3" x14ac:dyDescent="0.25">
      <c r="A3414" s="62" t="s">
        <v>7278</v>
      </c>
      <c r="B3414" s="63" t="s">
        <v>7279</v>
      </c>
      <c r="C3414" s="79" t="s">
        <v>8826</v>
      </c>
    </row>
    <row r="3415" spans="1:3" x14ac:dyDescent="0.25">
      <c r="A3415" s="62" t="s">
        <v>7280</v>
      </c>
      <c r="B3415" s="63" t="s">
        <v>7281</v>
      </c>
      <c r="C3415" s="79" t="s">
        <v>8826</v>
      </c>
    </row>
    <row r="3416" spans="1:3" x14ac:dyDescent="0.25">
      <c r="A3416" s="62" t="s">
        <v>7282</v>
      </c>
      <c r="B3416" s="63" t="s">
        <v>7283</v>
      </c>
      <c r="C3416" s="79" t="s">
        <v>8826</v>
      </c>
    </row>
    <row r="3417" spans="1:3" x14ac:dyDescent="0.25">
      <c r="A3417" s="62" t="s">
        <v>7284</v>
      </c>
      <c r="B3417" s="63" t="s">
        <v>7285</v>
      </c>
      <c r="C3417" s="79" t="s">
        <v>8826</v>
      </c>
    </row>
    <row r="3418" spans="1:3" x14ac:dyDescent="0.25">
      <c r="A3418" s="62" t="s">
        <v>7286</v>
      </c>
      <c r="B3418" s="63" t="s">
        <v>7287</v>
      </c>
      <c r="C3418" s="79" t="s">
        <v>8826</v>
      </c>
    </row>
    <row r="3419" spans="1:3" x14ac:dyDescent="0.25">
      <c r="A3419" s="62" t="s">
        <v>7288</v>
      </c>
      <c r="B3419" s="63" t="s">
        <v>7289</v>
      </c>
      <c r="C3419" s="79" t="s">
        <v>8826</v>
      </c>
    </row>
    <row r="3420" spans="1:3" x14ac:dyDescent="0.25">
      <c r="A3420" s="62" t="s">
        <v>7290</v>
      </c>
      <c r="B3420" s="63" t="s">
        <v>7291</v>
      </c>
      <c r="C3420" s="79" t="s">
        <v>8826</v>
      </c>
    </row>
    <row r="3421" spans="1:3" x14ac:dyDescent="0.25">
      <c r="A3421" s="62" t="s">
        <v>7292</v>
      </c>
      <c r="B3421" s="63" t="s">
        <v>7293</v>
      </c>
      <c r="C3421" s="79" t="s">
        <v>8826</v>
      </c>
    </row>
    <row r="3422" spans="1:3" x14ac:dyDescent="0.25">
      <c r="A3422" s="62" t="s">
        <v>7294</v>
      </c>
      <c r="B3422" s="63" t="s">
        <v>7295</v>
      </c>
      <c r="C3422" s="79" t="s">
        <v>8687</v>
      </c>
    </row>
    <row r="3423" spans="1:3" x14ac:dyDescent="0.25">
      <c r="A3423" s="62" t="s">
        <v>7296</v>
      </c>
      <c r="B3423" s="63" t="s">
        <v>7297</v>
      </c>
      <c r="C3423" s="79" t="s">
        <v>8687</v>
      </c>
    </row>
    <row r="3424" spans="1:3" x14ac:dyDescent="0.25">
      <c r="A3424" s="62" t="s">
        <v>7298</v>
      </c>
      <c r="B3424" s="63" t="s">
        <v>7299</v>
      </c>
      <c r="C3424" s="79" t="s">
        <v>8687</v>
      </c>
    </row>
    <row r="3425" spans="1:3" x14ac:dyDescent="0.25">
      <c r="A3425" s="62" t="s">
        <v>7300</v>
      </c>
      <c r="B3425" s="63" t="s">
        <v>7301</v>
      </c>
      <c r="C3425" s="79" t="s">
        <v>8687</v>
      </c>
    </row>
    <row r="3426" spans="1:3" x14ac:dyDescent="0.25">
      <c r="A3426" s="62" t="s">
        <v>7302</v>
      </c>
      <c r="B3426" s="63" t="s">
        <v>7303</v>
      </c>
      <c r="C3426" s="79" t="s">
        <v>8687</v>
      </c>
    </row>
    <row r="3427" spans="1:3" x14ac:dyDescent="0.25">
      <c r="A3427" s="62" t="s">
        <v>7304</v>
      </c>
      <c r="B3427" s="63" t="s">
        <v>7305</v>
      </c>
      <c r="C3427" s="79" t="s">
        <v>8687</v>
      </c>
    </row>
    <row r="3428" spans="1:3" x14ac:dyDescent="0.25">
      <c r="A3428" s="62" t="s">
        <v>7306</v>
      </c>
      <c r="B3428" s="63" t="s">
        <v>7307</v>
      </c>
      <c r="C3428" s="79" t="s">
        <v>8687</v>
      </c>
    </row>
    <row r="3429" spans="1:3" x14ac:dyDescent="0.25">
      <c r="A3429" s="62" t="s">
        <v>7308</v>
      </c>
      <c r="B3429" s="63" t="s">
        <v>7309</v>
      </c>
      <c r="C3429" s="79" t="s">
        <v>8687</v>
      </c>
    </row>
    <row r="3430" spans="1:3" x14ac:dyDescent="0.25">
      <c r="A3430" s="62" t="s">
        <v>7310</v>
      </c>
      <c r="B3430" s="63" t="s">
        <v>7311</v>
      </c>
      <c r="C3430" s="79" t="s">
        <v>8687</v>
      </c>
    </row>
    <row r="3431" spans="1:3" x14ac:dyDescent="0.25">
      <c r="A3431" s="62" t="s">
        <v>7312</v>
      </c>
      <c r="B3431" s="63" t="s">
        <v>7313</v>
      </c>
      <c r="C3431" s="79" t="s">
        <v>8927</v>
      </c>
    </row>
    <row r="3432" spans="1:3" x14ac:dyDescent="0.25">
      <c r="A3432" s="62" t="s">
        <v>7314</v>
      </c>
      <c r="B3432" s="63" t="s">
        <v>7315</v>
      </c>
      <c r="C3432" s="79" t="s">
        <v>8927</v>
      </c>
    </row>
    <row r="3433" spans="1:3" x14ac:dyDescent="0.25">
      <c r="A3433" s="62" t="s">
        <v>7316</v>
      </c>
      <c r="B3433" s="63" t="s">
        <v>7317</v>
      </c>
      <c r="C3433" s="79" t="s">
        <v>8927</v>
      </c>
    </row>
    <row r="3434" spans="1:3" x14ac:dyDescent="0.25">
      <c r="A3434" s="62" t="s">
        <v>7318</v>
      </c>
      <c r="B3434" s="63" t="s">
        <v>7319</v>
      </c>
      <c r="C3434" s="79" t="s">
        <v>8927</v>
      </c>
    </row>
    <row r="3435" spans="1:3" x14ac:dyDescent="0.25">
      <c r="A3435" s="62" t="s">
        <v>7320</v>
      </c>
      <c r="B3435" s="63" t="s">
        <v>7321</v>
      </c>
      <c r="C3435" s="79" t="s">
        <v>8927</v>
      </c>
    </row>
    <row r="3436" spans="1:3" x14ac:dyDescent="0.25">
      <c r="A3436" s="62" t="s">
        <v>7322</v>
      </c>
      <c r="B3436" s="63" t="s">
        <v>7323</v>
      </c>
      <c r="C3436" s="79" t="s">
        <v>8927</v>
      </c>
    </row>
    <row r="3437" spans="1:3" x14ac:dyDescent="0.25">
      <c r="A3437" s="62" t="s">
        <v>7324</v>
      </c>
      <c r="B3437" s="63" t="s">
        <v>7325</v>
      </c>
      <c r="C3437" s="79" t="s">
        <v>8927</v>
      </c>
    </row>
    <row r="3438" spans="1:3" x14ac:dyDescent="0.25">
      <c r="A3438" s="62" t="s">
        <v>7326</v>
      </c>
      <c r="B3438" s="63" t="s">
        <v>7327</v>
      </c>
      <c r="C3438" s="79" t="s">
        <v>8927</v>
      </c>
    </row>
    <row r="3439" spans="1:3" x14ac:dyDescent="0.25">
      <c r="A3439" s="62" t="s">
        <v>7328</v>
      </c>
      <c r="B3439" s="63" t="s">
        <v>7329</v>
      </c>
      <c r="C3439" s="79" t="s">
        <v>8927</v>
      </c>
    </row>
    <row r="3440" spans="1:3" x14ac:dyDescent="0.25">
      <c r="A3440" s="62" t="s">
        <v>7330</v>
      </c>
      <c r="B3440" s="63" t="s">
        <v>7331</v>
      </c>
      <c r="C3440" s="79" t="s">
        <v>8765</v>
      </c>
    </row>
    <row r="3441" spans="1:3" x14ac:dyDescent="0.25">
      <c r="A3441" s="62" t="s">
        <v>7332</v>
      </c>
      <c r="B3441" s="63" t="s">
        <v>7333</v>
      </c>
      <c r="C3441" s="79" t="s">
        <v>8765</v>
      </c>
    </row>
    <row r="3442" spans="1:3" x14ac:dyDescent="0.25">
      <c r="A3442" s="62" t="s">
        <v>7334</v>
      </c>
      <c r="B3442" s="63" t="s">
        <v>7335</v>
      </c>
      <c r="C3442" s="79" t="s">
        <v>8765</v>
      </c>
    </row>
    <row r="3443" spans="1:3" x14ac:dyDescent="0.25">
      <c r="A3443" s="62" t="s">
        <v>7336</v>
      </c>
      <c r="B3443" s="63" t="s">
        <v>7337</v>
      </c>
      <c r="C3443" s="79" t="s">
        <v>8765</v>
      </c>
    </row>
    <row r="3444" spans="1:3" x14ac:dyDescent="0.25">
      <c r="A3444" s="62" t="s">
        <v>7338</v>
      </c>
      <c r="B3444" s="63" t="s">
        <v>7339</v>
      </c>
      <c r="C3444" s="79" t="s">
        <v>8765</v>
      </c>
    </row>
    <row r="3445" spans="1:3" x14ac:dyDescent="0.25">
      <c r="A3445" s="62" t="s">
        <v>7340</v>
      </c>
      <c r="B3445" s="63" t="s">
        <v>7341</v>
      </c>
      <c r="C3445" s="79" t="s">
        <v>8765</v>
      </c>
    </row>
    <row r="3446" spans="1:3" x14ac:dyDescent="0.25">
      <c r="A3446" s="62" t="s">
        <v>7342</v>
      </c>
      <c r="B3446" s="63" t="s">
        <v>7343</v>
      </c>
      <c r="C3446" s="79" t="s">
        <v>8765</v>
      </c>
    </row>
    <row r="3447" spans="1:3" x14ac:dyDescent="0.25">
      <c r="A3447" s="62" t="s">
        <v>7344</v>
      </c>
      <c r="B3447" s="63" t="s">
        <v>7345</v>
      </c>
      <c r="C3447" s="79" t="s">
        <v>8765</v>
      </c>
    </row>
    <row r="3448" spans="1:3" ht="18" x14ac:dyDescent="0.25">
      <c r="A3448" s="182"/>
      <c r="B3448" s="182" t="s">
        <v>7346</v>
      </c>
      <c r="C3448" s="183"/>
    </row>
    <row r="3449" spans="1:3" x14ac:dyDescent="0.25">
      <c r="A3449" s="62" t="s">
        <v>7347</v>
      </c>
      <c r="B3449" s="63" t="s">
        <v>7348</v>
      </c>
      <c r="C3449" s="79" t="s">
        <v>8740</v>
      </c>
    </row>
    <row r="3450" spans="1:3" x14ac:dyDescent="0.25">
      <c r="A3450" s="62" t="s">
        <v>7349</v>
      </c>
      <c r="B3450" s="63" t="s">
        <v>7346</v>
      </c>
      <c r="C3450" s="79" t="s">
        <v>8825</v>
      </c>
    </row>
    <row r="3451" spans="1:3" x14ac:dyDescent="0.25">
      <c r="A3451" s="62" t="s">
        <v>7350</v>
      </c>
      <c r="B3451" s="63" t="s">
        <v>7346</v>
      </c>
      <c r="C3451" s="79" t="s">
        <v>8721</v>
      </c>
    </row>
    <row r="3452" spans="1:3" x14ac:dyDescent="0.25">
      <c r="A3452" s="62" t="s">
        <v>7351</v>
      </c>
      <c r="B3452" s="63" t="s">
        <v>7346</v>
      </c>
      <c r="C3452" s="79" t="s">
        <v>8820</v>
      </c>
    </row>
    <row r="3453" spans="1:3" ht="18" x14ac:dyDescent="0.25">
      <c r="A3453" s="182"/>
      <c r="B3453" s="182" t="s">
        <v>9004</v>
      </c>
      <c r="C3453" s="183"/>
    </row>
    <row r="3454" spans="1:3" x14ac:dyDescent="0.25">
      <c r="A3454" s="62" t="s">
        <v>7352</v>
      </c>
      <c r="B3454" s="63" t="s">
        <v>7353</v>
      </c>
      <c r="C3454" s="79" t="s">
        <v>8741</v>
      </c>
    </row>
    <row r="3455" spans="1:3" x14ac:dyDescent="0.25">
      <c r="A3455" s="62" t="s">
        <v>7354</v>
      </c>
      <c r="B3455" s="63" t="s">
        <v>7355</v>
      </c>
      <c r="C3455" s="79" t="s">
        <v>9005</v>
      </c>
    </row>
    <row r="3456" spans="1:3" ht="18" x14ac:dyDescent="0.25">
      <c r="A3456" s="182"/>
      <c r="B3456" s="182" t="s">
        <v>9006</v>
      </c>
      <c r="C3456" s="183"/>
    </row>
    <row r="3457" spans="1:3" x14ac:dyDescent="0.25">
      <c r="A3457" s="62" t="s">
        <v>7356</v>
      </c>
      <c r="B3457" s="63" t="s">
        <v>7357</v>
      </c>
      <c r="C3457" s="79" t="s">
        <v>8826</v>
      </c>
    </row>
    <row r="3458" spans="1:3" x14ac:dyDescent="0.25">
      <c r="A3458" s="62" t="s">
        <v>7358</v>
      </c>
      <c r="B3458" s="63" t="s">
        <v>7359</v>
      </c>
      <c r="C3458" s="79" t="s">
        <v>8826</v>
      </c>
    </row>
    <row r="3459" spans="1:3" x14ac:dyDescent="0.25">
      <c r="A3459" s="62" t="s">
        <v>7360</v>
      </c>
      <c r="B3459" s="63" t="s">
        <v>7361</v>
      </c>
      <c r="C3459" s="79" t="s">
        <v>8826</v>
      </c>
    </row>
    <row r="3460" spans="1:3" x14ac:dyDescent="0.25">
      <c r="A3460" s="62" t="s">
        <v>7362</v>
      </c>
      <c r="B3460" s="63" t="s">
        <v>7363</v>
      </c>
      <c r="C3460" s="79" t="s">
        <v>8826</v>
      </c>
    </row>
    <row r="3461" spans="1:3" x14ac:dyDescent="0.25">
      <c r="A3461" s="62" t="s">
        <v>7364</v>
      </c>
      <c r="B3461" s="63" t="s">
        <v>7365</v>
      </c>
      <c r="C3461" s="79" t="s">
        <v>8826</v>
      </c>
    </row>
    <row r="3462" spans="1:3" x14ac:dyDescent="0.25">
      <c r="A3462" s="62" t="s">
        <v>7366</v>
      </c>
      <c r="B3462" s="63" t="s">
        <v>7367</v>
      </c>
      <c r="C3462" s="79" t="s">
        <v>8826</v>
      </c>
    </row>
    <row r="3463" spans="1:3" x14ac:dyDescent="0.25">
      <c r="A3463" s="62" t="s">
        <v>7368</v>
      </c>
      <c r="B3463" s="63" t="s">
        <v>7369</v>
      </c>
      <c r="C3463" s="79" t="s">
        <v>8826</v>
      </c>
    </row>
    <row r="3464" spans="1:3" x14ac:dyDescent="0.25">
      <c r="A3464" s="62" t="s">
        <v>7370</v>
      </c>
      <c r="B3464" s="63" t="s">
        <v>7371</v>
      </c>
      <c r="C3464" s="79" t="s">
        <v>8826</v>
      </c>
    </row>
    <row r="3465" spans="1:3" x14ac:dyDescent="0.25">
      <c r="A3465" s="62" t="s">
        <v>7372</v>
      </c>
      <c r="B3465" s="63" t="s">
        <v>7373</v>
      </c>
      <c r="C3465" s="79" t="s">
        <v>8931</v>
      </c>
    </row>
    <row r="3466" spans="1:3" x14ac:dyDescent="0.25">
      <c r="A3466" s="62" t="s">
        <v>7374</v>
      </c>
      <c r="B3466" s="63" t="s">
        <v>7375</v>
      </c>
      <c r="C3466" s="79" t="s">
        <v>9007</v>
      </c>
    </row>
    <row r="3467" spans="1:3" x14ac:dyDescent="0.25">
      <c r="A3467" s="62" t="s">
        <v>7376</v>
      </c>
      <c r="B3467" s="63" t="s">
        <v>7377</v>
      </c>
      <c r="C3467" s="79" t="s">
        <v>9007</v>
      </c>
    </row>
    <row r="3468" spans="1:3" ht="18" x14ac:dyDescent="0.25">
      <c r="A3468" s="182"/>
      <c r="B3468" s="182" t="s">
        <v>9008</v>
      </c>
      <c r="C3468" s="183"/>
    </row>
    <row r="3469" spans="1:3" x14ac:dyDescent="0.25">
      <c r="A3469" s="62" t="s">
        <v>7378</v>
      </c>
      <c r="B3469" s="63" t="s">
        <v>7379</v>
      </c>
      <c r="C3469" s="79" t="s">
        <v>8696</v>
      </c>
    </row>
    <row r="3470" spans="1:3" x14ac:dyDescent="0.25">
      <c r="A3470" s="62" t="s">
        <v>7380</v>
      </c>
      <c r="B3470" s="63" t="s">
        <v>7381</v>
      </c>
      <c r="C3470" s="79" t="s">
        <v>8700</v>
      </c>
    </row>
    <row r="3471" spans="1:3" ht="18" x14ac:dyDescent="0.25">
      <c r="A3471" s="182"/>
      <c r="B3471" s="182" t="s">
        <v>9009</v>
      </c>
      <c r="C3471" s="183"/>
    </row>
    <row r="3472" spans="1:3" x14ac:dyDescent="0.25">
      <c r="A3472" s="62" t="s">
        <v>7382</v>
      </c>
      <c r="B3472" s="63" t="s">
        <v>7383</v>
      </c>
      <c r="C3472" s="79" t="s">
        <v>8783</v>
      </c>
    </row>
    <row r="3473" spans="1:3" ht="31.5" x14ac:dyDescent="0.25">
      <c r="A3473" s="62" t="s">
        <v>7384</v>
      </c>
      <c r="B3473" s="63" t="s">
        <v>7385</v>
      </c>
      <c r="C3473" s="79" t="s">
        <v>8702</v>
      </c>
    </row>
    <row r="3474" spans="1:3" ht="18" x14ac:dyDescent="0.25">
      <c r="A3474" s="182"/>
      <c r="B3474" s="182" t="s">
        <v>9010</v>
      </c>
      <c r="C3474" s="183"/>
    </row>
    <row r="3475" spans="1:3" ht="31.5" x14ac:dyDescent="0.25">
      <c r="A3475" s="62" t="s">
        <v>7386</v>
      </c>
      <c r="B3475" s="63" t="s">
        <v>7387</v>
      </c>
      <c r="C3475" s="79" t="s">
        <v>8811</v>
      </c>
    </row>
    <row r="3476" spans="1:3" ht="18" x14ac:dyDescent="0.25">
      <c r="A3476" s="182"/>
      <c r="B3476" s="182" t="s">
        <v>9011</v>
      </c>
      <c r="C3476" s="183"/>
    </row>
    <row r="3477" spans="1:3" x14ac:dyDescent="0.25">
      <c r="A3477" s="62" t="s">
        <v>7388</v>
      </c>
      <c r="B3477" s="63" t="s">
        <v>7389</v>
      </c>
      <c r="C3477" s="79" t="s">
        <v>8721</v>
      </c>
    </row>
    <row r="3478" spans="1:3" x14ac:dyDescent="0.25">
      <c r="A3478" s="64"/>
      <c r="B3478" s="64" t="s">
        <v>9012</v>
      </c>
      <c r="C3478" s="80"/>
    </row>
    <row r="3479" spans="1:3" ht="18" x14ac:dyDescent="0.25">
      <c r="A3479" s="182"/>
      <c r="B3479" s="182" t="s">
        <v>7390</v>
      </c>
      <c r="C3479" s="183"/>
    </row>
    <row r="3480" spans="1:3" x14ac:dyDescent="0.25">
      <c r="A3480" s="62" t="s">
        <v>7391</v>
      </c>
      <c r="B3480" s="63" t="s">
        <v>7390</v>
      </c>
      <c r="C3480" s="79" t="s">
        <v>9013</v>
      </c>
    </row>
    <row r="3481" spans="1:3" ht="18" x14ac:dyDescent="0.25">
      <c r="A3481" s="182"/>
      <c r="B3481" s="182" t="s">
        <v>9014</v>
      </c>
      <c r="C3481" s="183"/>
    </row>
    <row r="3482" spans="1:3" x14ac:dyDescent="0.25">
      <c r="A3482" s="62" t="s">
        <v>7392</v>
      </c>
      <c r="B3482" s="63" t="s">
        <v>7393</v>
      </c>
      <c r="C3482" s="79" t="s">
        <v>9015</v>
      </c>
    </row>
    <row r="3483" spans="1:3" ht="18" x14ac:dyDescent="0.25">
      <c r="A3483" s="182"/>
      <c r="B3483" s="182" t="s">
        <v>9016</v>
      </c>
      <c r="C3483" s="183"/>
    </row>
    <row r="3484" spans="1:3" x14ac:dyDescent="0.25">
      <c r="A3484" s="62" t="s">
        <v>7394</v>
      </c>
      <c r="B3484" s="63" t="s">
        <v>7395</v>
      </c>
      <c r="C3484" s="79" t="s">
        <v>8958</v>
      </c>
    </row>
    <row r="3485" spans="1:3" ht="18" x14ac:dyDescent="0.25">
      <c r="A3485" s="182"/>
      <c r="B3485" s="182" t="s">
        <v>9017</v>
      </c>
      <c r="C3485" s="183"/>
    </row>
    <row r="3486" spans="1:3" x14ac:dyDescent="0.25">
      <c r="A3486" s="62" t="s">
        <v>7396</v>
      </c>
      <c r="B3486" s="63" t="s">
        <v>7397</v>
      </c>
      <c r="C3486" s="79" t="s">
        <v>8958</v>
      </c>
    </row>
    <row r="3487" spans="1:3" ht="18" x14ac:dyDescent="0.25">
      <c r="A3487" s="182"/>
      <c r="B3487" s="182" t="s">
        <v>9018</v>
      </c>
      <c r="C3487" s="183"/>
    </row>
    <row r="3488" spans="1:3" x14ac:dyDescent="0.25">
      <c r="A3488" s="62" t="s">
        <v>7398</v>
      </c>
      <c r="B3488" s="63" t="s">
        <v>7399</v>
      </c>
      <c r="C3488" s="79" t="s">
        <v>8926</v>
      </c>
    </row>
    <row r="3489" spans="1:3" x14ac:dyDescent="0.25">
      <c r="A3489" s="62" t="s">
        <v>7400</v>
      </c>
      <c r="B3489" s="63" t="s">
        <v>7401</v>
      </c>
      <c r="C3489" s="79" t="s">
        <v>9007</v>
      </c>
    </row>
    <row r="3490" spans="1:3" x14ac:dyDescent="0.25">
      <c r="A3490" s="62" t="s">
        <v>7402</v>
      </c>
      <c r="B3490" s="63" t="s">
        <v>7403</v>
      </c>
      <c r="C3490" s="79" t="s">
        <v>8696</v>
      </c>
    </row>
    <row r="3491" spans="1:3" x14ac:dyDescent="0.25">
      <c r="A3491" s="62" t="s">
        <v>7404</v>
      </c>
      <c r="B3491" s="63" t="s">
        <v>7405</v>
      </c>
      <c r="C3491" s="79" t="s">
        <v>8715</v>
      </c>
    </row>
    <row r="3492" spans="1:3" x14ac:dyDescent="0.25">
      <c r="A3492" s="62" t="s">
        <v>7406</v>
      </c>
      <c r="B3492" s="63" t="s">
        <v>7407</v>
      </c>
      <c r="C3492" s="79" t="s">
        <v>8696</v>
      </c>
    </row>
    <row r="3493" spans="1:3" x14ac:dyDescent="0.25">
      <c r="A3493" s="62" t="s">
        <v>7408</v>
      </c>
      <c r="B3493" s="63" t="s">
        <v>7409</v>
      </c>
      <c r="C3493" s="79" t="s">
        <v>8741</v>
      </c>
    </row>
    <row r="3494" spans="1:3" x14ac:dyDescent="0.25">
      <c r="A3494" s="62" t="s">
        <v>7410</v>
      </c>
      <c r="B3494" s="63" t="s">
        <v>7411</v>
      </c>
      <c r="C3494" s="79" t="s">
        <v>8741</v>
      </c>
    </row>
    <row r="3495" spans="1:3" x14ac:dyDescent="0.25">
      <c r="A3495" s="62" t="s">
        <v>7412</v>
      </c>
      <c r="B3495" s="63" t="s">
        <v>7413</v>
      </c>
      <c r="C3495" s="79" t="s">
        <v>8741</v>
      </c>
    </row>
    <row r="3496" spans="1:3" x14ac:dyDescent="0.25">
      <c r="A3496" s="62" t="s">
        <v>7414</v>
      </c>
      <c r="B3496" s="63" t="s">
        <v>7415</v>
      </c>
      <c r="C3496" s="79" t="s">
        <v>8961</v>
      </c>
    </row>
    <row r="3497" spans="1:3" x14ac:dyDescent="0.25">
      <c r="A3497" s="62" t="s">
        <v>7416</v>
      </c>
      <c r="B3497" s="63" t="s">
        <v>7417</v>
      </c>
      <c r="C3497" s="79" t="s">
        <v>8961</v>
      </c>
    </row>
    <row r="3498" spans="1:3" x14ac:dyDescent="0.25">
      <c r="A3498" s="62" t="s">
        <v>7418</v>
      </c>
      <c r="B3498" s="63" t="s">
        <v>7419</v>
      </c>
      <c r="C3498" s="79" t="s">
        <v>8961</v>
      </c>
    </row>
    <row r="3499" spans="1:3" x14ac:dyDescent="0.25">
      <c r="A3499" s="62" t="s">
        <v>7420</v>
      </c>
      <c r="B3499" s="63" t="s">
        <v>7421</v>
      </c>
      <c r="C3499" s="79" t="s">
        <v>8961</v>
      </c>
    </row>
    <row r="3500" spans="1:3" x14ac:dyDescent="0.25">
      <c r="A3500" s="62" t="s">
        <v>7422</v>
      </c>
      <c r="B3500" s="63" t="s">
        <v>7423</v>
      </c>
      <c r="C3500" s="79" t="s">
        <v>8961</v>
      </c>
    </row>
    <row r="3501" spans="1:3" x14ac:dyDescent="0.25">
      <c r="A3501" s="62" t="s">
        <v>7424</v>
      </c>
      <c r="B3501" s="63" t="s">
        <v>7425</v>
      </c>
      <c r="C3501" s="79" t="s">
        <v>8961</v>
      </c>
    </row>
    <row r="3502" spans="1:3" x14ac:dyDescent="0.25">
      <c r="A3502" s="62" t="s">
        <v>7426</v>
      </c>
      <c r="B3502" s="63" t="s">
        <v>7427</v>
      </c>
      <c r="C3502" s="79" t="s">
        <v>8838</v>
      </c>
    </row>
    <row r="3503" spans="1:3" x14ac:dyDescent="0.25">
      <c r="A3503" s="62" t="s">
        <v>7428</v>
      </c>
      <c r="B3503" s="63" t="s">
        <v>7429</v>
      </c>
      <c r="C3503" s="79" t="s">
        <v>8838</v>
      </c>
    </row>
    <row r="3504" spans="1:3" x14ac:dyDescent="0.25">
      <c r="A3504" s="62" t="s">
        <v>7430</v>
      </c>
      <c r="B3504" s="63" t="s">
        <v>7431</v>
      </c>
      <c r="C3504" s="79" t="s">
        <v>8838</v>
      </c>
    </row>
    <row r="3505" spans="1:3" x14ac:dyDescent="0.25">
      <c r="A3505" s="62" t="s">
        <v>7432</v>
      </c>
      <c r="B3505" s="63" t="s">
        <v>7433</v>
      </c>
      <c r="C3505" s="79" t="s">
        <v>8829</v>
      </c>
    </row>
    <row r="3506" spans="1:3" x14ac:dyDescent="0.25">
      <c r="A3506" s="62" t="s">
        <v>7434</v>
      </c>
      <c r="B3506" s="63" t="s">
        <v>7435</v>
      </c>
      <c r="C3506" s="79" t="s">
        <v>8829</v>
      </c>
    </row>
    <row r="3507" spans="1:3" x14ac:dyDescent="0.25">
      <c r="A3507" s="62" t="s">
        <v>7436</v>
      </c>
      <c r="B3507" s="63" t="s">
        <v>7437</v>
      </c>
      <c r="C3507" s="79" t="s">
        <v>9019</v>
      </c>
    </row>
    <row r="3508" spans="1:3" x14ac:dyDescent="0.25">
      <c r="A3508" s="62" t="s">
        <v>7438</v>
      </c>
      <c r="B3508" s="63" t="s">
        <v>7439</v>
      </c>
      <c r="C3508" s="79" t="s">
        <v>9020</v>
      </c>
    </row>
    <row r="3509" spans="1:3" x14ac:dyDescent="0.25">
      <c r="A3509" s="62" t="s">
        <v>7440</v>
      </c>
      <c r="B3509" s="63" t="s">
        <v>7441</v>
      </c>
      <c r="C3509" s="79" t="s">
        <v>9020</v>
      </c>
    </row>
    <row r="3510" spans="1:3" x14ac:dyDescent="0.25">
      <c r="A3510" s="62" t="s">
        <v>7442</v>
      </c>
      <c r="B3510" s="63" t="s">
        <v>7443</v>
      </c>
      <c r="C3510" s="79" t="s">
        <v>9021</v>
      </c>
    </row>
    <row r="3511" spans="1:3" x14ac:dyDescent="0.25">
      <c r="A3511" s="62" t="s">
        <v>7444</v>
      </c>
      <c r="B3511" s="63" t="s">
        <v>7445</v>
      </c>
      <c r="C3511" s="79" t="s">
        <v>9021</v>
      </c>
    </row>
    <row r="3512" spans="1:3" x14ac:dyDescent="0.25">
      <c r="A3512" s="62" t="s">
        <v>7446</v>
      </c>
      <c r="B3512" s="63" t="s">
        <v>7447</v>
      </c>
      <c r="C3512" s="79" t="s">
        <v>8829</v>
      </c>
    </row>
    <row r="3513" spans="1:3" x14ac:dyDescent="0.25">
      <c r="A3513" s="62" t="s">
        <v>7448</v>
      </c>
      <c r="B3513" s="63" t="s">
        <v>7449</v>
      </c>
      <c r="C3513" s="79" t="s">
        <v>8829</v>
      </c>
    </row>
    <row r="3514" spans="1:3" x14ac:dyDescent="0.25">
      <c r="A3514" s="62" t="s">
        <v>7450</v>
      </c>
      <c r="B3514" s="63" t="s">
        <v>7451</v>
      </c>
      <c r="C3514" s="79" t="s">
        <v>9019</v>
      </c>
    </row>
    <row r="3515" spans="1:3" x14ac:dyDescent="0.25">
      <c r="A3515" s="62" t="s">
        <v>7452</v>
      </c>
      <c r="B3515" s="63" t="s">
        <v>7453</v>
      </c>
      <c r="C3515" s="79" t="s">
        <v>9019</v>
      </c>
    </row>
    <row r="3516" spans="1:3" x14ac:dyDescent="0.25">
      <c r="A3516" s="62" t="s">
        <v>7454</v>
      </c>
      <c r="B3516" s="63" t="s">
        <v>7455</v>
      </c>
      <c r="C3516" s="79" t="s">
        <v>9020</v>
      </c>
    </row>
    <row r="3517" spans="1:3" x14ac:dyDescent="0.25">
      <c r="A3517" s="62" t="s">
        <v>7456</v>
      </c>
      <c r="B3517" s="63" t="s">
        <v>7457</v>
      </c>
      <c r="C3517" s="79" t="s">
        <v>9020</v>
      </c>
    </row>
    <row r="3518" spans="1:3" x14ac:dyDescent="0.25">
      <c r="A3518" s="62" t="s">
        <v>7458</v>
      </c>
      <c r="B3518" s="63" t="s">
        <v>7459</v>
      </c>
      <c r="C3518" s="79" t="s">
        <v>9021</v>
      </c>
    </row>
    <row r="3519" spans="1:3" x14ac:dyDescent="0.25">
      <c r="A3519" s="62" t="s">
        <v>7460</v>
      </c>
      <c r="B3519" s="63" t="s">
        <v>7461</v>
      </c>
      <c r="C3519" s="79" t="s">
        <v>9021</v>
      </c>
    </row>
    <row r="3520" spans="1:3" ht="31.5" x14ac:dyDescent="0.25">
      <c r="A3520" s="62" t="s">
        <v>7462</v>
      </c>
      <c r="B3520" s="63" t="s">
        <v>7463</v>
      </c>
      <c r="C3520" s="79" t="s">
        <v>8895</v>
      </c>
    </row>
    <row r="3521" spans="1:3" ht="31.5" x14ac:dyDescent="0.25">
      <c r="A3521" s="62" t="s">
        <v>7464</v>
      </c>
      <c r="B3521" s="63" t="s">
        <v>7465</v>
      </c>
      <c r="C3521" s="79" t="s">
        <v>8895</v>
      </c>
    </row>
    <row r="3522" spans="1:3" ht="31.5" x14ac:dyDescent="0.25">
      <c r="A3522" s="62" t="s">
        <v>7466</v>
      </c>
      <c r="B3522" s="63" t="s">
        <v>7467</v>
      </c>
      <c r="C3522" s="79" t="s">
        <v>8895</v>
      </c>
    </row>
    <row r="3523" spans="1:3" ht="31.5" x14ac:dyDescent="0.25">
      <c r="A3523" s="62" t="s">
        <v>7468</v>
      </c>
      <c r="B3523" s="63" t="s">
        <v>7469</v>
      </c>
      <c r="C3523" s="79" t="s">
        <v>8895</v>
      </c>
    </row>
    <row r="3524" spans="1:3" ht="31.5" x14ac:dyDescent="0.25">
      <c r="A3524" s="62" t="s">
        <v>7470</v>
      </c>
      <c r="B3524" s="63" t="s">
        <v>7471</v>
      </c>
      <c r="C3524" s="79" t="s">
        <v>8895</v>
      </c>
    </row>
    <row r="3525" spans="1:3" ht="31.5" x14ac:dyDescent="0.25">
      <c r="A3525" s="62" t="s">
        <v>7472</v>
      </c>
      <c r="B3525" s="63" t="s">
        <v>7473</v>
      </c>
      <c r="C3525" s="79" t="s">
        <v>8895</v>
      </c>
    </row>
    <row r="3526" spans="1:3" ht="31.5" x14ac:dyDescent="0.25">
      <c r="A3526" s="62" t="s">
        <v>7474</v>
      </c>
      <c r="B3526" s="63" t="s">
        <v>7475</v>
      </c>
      <c r="C3526" s="79" t="s">
        <v>8895</v>
      </c>
    </row>
    <row r="3527" spans="1:3" ht="31.5" x14ac:dyDescent="0.25">
      <c r="A3527" s="62" t="s">
        <v>7476</v>
      </c>
      <c r="B3527" s="63" t="s">
        <v>7477</v>
      </c>
      <c r="C3527" s="79" t="s">
        <v>8895</v>
      </c>
    </row>
    <row r="3528" spans="1:3" ht="31.5" x14ac:dyDescent="0.25">
      <c r="A3528" s="62" t="s">
        <v>7478</v>
      </c>
      <c r="B3528" s="63" t="s">
        <v>7479</v>
      </c>
      <c r="C3528" s="79" t="s">
        <v>8895</v>
      </c>
    </row>
    <row r="3529" spans="1:3" ht="31.5" x14ac:dyDescent="0.25">
      <c r="A3529" s="62" t="s">
        <v>7480</v>
      </c>
      <c r="B3529" s="63" t="s">
        <v>7481</v>
      </c>
      <c r="C3529" s="79" t="s">
        <v>8895</v>
      </c>
    </row>
    <row r="3530" spans="1:3" x14ac:dyDescent="0.25">
      <c r="A3530" s="62" t="s">
        <v>7482</v>
      </c>
      <c r="B3530" s="63" t="s">
        <v>7483</v>
      </c>
      <c r="C3530" s="79" t="s">
        <v>9022</v>
      </c>
    </row>
    <row r="3531" spans="1:3" x14ac:dyDescent="0.25">
      <c r="A3531" s="62" t="s">
        <v>7484</v>
      </c>
      <c r="B3531" s="63" t="s">
        <v>7485</v>
      </c>
      <c r="C3531" s="79" t="s">
        <v>9022</v>
      </c>
    </row>
    <row r="3532" spans="1:3" x14ac:dyDescent="0.25">
      <c r="A3532" s="62" t="s">
        <v>7486</v>
      </c>
      <c r="B3532" s="63" t="s">
        <v>7487</v>
      </c>
      <c r="C3532" s="79" t="s">
        <v>8786</v>
      </c>
    </row>
    <row r="3533" spans="1:3" x14ac:dyDescent="0.25">
      <c r="A3533" s="62" t="s">
        <v>7488</v>
      </c>
      <c r="B3533" s="63" t="s">
        <v>7489</v>
      </c>
      <c r="C3533" s="79" t="s">
        <v>8820</v>
      </c>
    </row>
    <row r="3534" spans="1:3" x14ac:dyDescent="0.25">
      <c r="A3534" s="62" t="s">
        <v>7490</v>
      </c>
      <c r="B3534" s="63" t="s">
        <v>7491</v>
      </c>
      <c r="C3534" s="79" t="s">
        <v>8820</v>
      </c>
    </row>
    <row r="3535" spans="1:3" x14ac:dyDescent="0.25">
      <c r="A3535" s="62" t="s">
        <v>7492</v>
      </c>
      <c r="B3535" s="63" t="s">
        <v>7493</v>
      </c>
      <c r="C3535" s="79" t="s">
        <v>8860</v>
      </c>
    </row>
    <row r="3536" spans="1:3" x14ac:dyDescent="0.25">
      <c r="A3536" s="62" t="s">
        <v>7494</v>
      </c>
      <c r="B3536" s="63" t="s">
        <v>7495</v>
      </c>
      <c r="C3536" s="79" t="s">
        <v>8961</v>
      </c>
    </row>
    <row r="3537" spans="1:3" x14ac:dyDescent="0.25">
      <c r="A3537" s="62" t="s">
        <v>7496</v>
      </c>
      <c r="B3537" s="63" t="s">
        <v>7497</v>
      </c>
      <c r="C3537" s="79" t="s">
        <v>8860</v>
      </c>
    </row>
    <row r="3538" spans="1:3" x14ac:dyDescent="0.25">
      <c r="A3538" s="62" t="s">
        <v>7498</v>
      </c>
      <c r="B3538" s="63" t="s">
        <v>7499</v>
      </c>
      <c r="C3538" s="79" t="s">
        <v>8682</v>
      </c>
    </row>
    <row r="3539" spans="1:3" x14ac:dyDescent="0.25">
      <c r="A3539" s="62" t="s">
        <v>7500</v>
      </c>
      <c r="B3539" s="63" t="s">
        <v>7501</v>
      </c>
      <c r="C3539" s="79" t="s">
        <v>8741</v>
      </c>
    </row>
    <row r="3540" spans="1:3" x14ac:dyDescent="0.25">
      <c r="A3540" s="62" t="s">
        <v>7502</v>
      </c>
      <c r="B3540" s="63" t="s">
        <v>7503</v>
      </c>
      <c r="C3540" s="79" t="s">
        <v>8682</v>
      </c>
    </row>
    <row r="3541" spans="1:3" x14ac:dyDescent="0.25">
      <c r="A3541" s="62" t="s">
        <v>7504</v>
      </c>
      <c r="B3541" s="63" t="s">
        <v>7505</v>
      </c>
      <c r="C3541" s="79" t="s">
        <v>8792</v>
      </c>
    </row>
    <row r="3542" spans="1:3" x14ac:dyDescent="0.25">
      <c r="A3542" s="62" t="s">
        <v>7506</v>
      </c>
      <c r="B3542" s="63" t="s">
        <v>7507</v>
      </c>
      <c r="C3542" s="79" t="s">
        <v>8833</v>
      </c>
    </row>
    <row r="3543" spans="1:3" x14ac:dyDescent="0.25">
      <c r="A3543" s="62" t="s">
        <v>7508</v>
      </c>
      <c r="B3543" s="63" t="s">
        <v>7509</v>
      </c>
      <c r="C3543" s="79" t="s">
        <v>8833</v>
      </c>
    </row>
    <row r="3544" spans="1:3" x14ac:dyDescent="0.25">
      <c r="A3544" s="62" t="s">
        <v>7510</v>
      </c>
      <c r="B3544" s="63" t="s">
        <v>7511</v>
      </c>
      <c r="C3544" s="79" t="s">
        <v>9019</v>
      </c>
    </row>
    <row r="3545" spans="1:3" x14ac:dyDescent="0.25">
      <c r="A3545" s="62" t="s">
        <v>7512</v>
      </c>
      <c r="B3545" s="63" t="s">
        <v>7513</v>
      </c>
      <c r="C3545" s="79" t="s">
        <v>9019</v>
      </c>
    </row>
    <row r="3546" spans="1:3" x14ac:dyDescent="0.25">
      <c r="A3546" s="62" t="s">
        <v>7514</v>
      </c>
      <c r="B3546" s="63" t="s">
        <v>7515</v>
      </c>
      <c r="C3546" s="79" t="s">
        <v>9020</v>
      </c>
    </row>
    <row r="3547" spans="1:3" x14ac:dyDescent="0.25">
      <c r="A3547" s="62" t="s">
        <v>7516</v>
      </c>
      <c r="B3547" s="63" t="s">
        <v>7517</v>
      </c>
      <c r="C3547" s="79" t="s">
        <v>9020</v>
      </c>
    </row>
    <row r="3548" spans="1:3" x14ac:dyDescent="0.25">
      <c r="A3548" s="62" t="s">
        <v>7518</v>
      </c>
      <c r="B3548" s="63" t="s">
        <v>7519</v>
      </c>
      <c r="C3548" s="79" t="s">
        <v>9021</v>
      </c>
    </row>
    <row r="3549" spans="1:3" x14ac:dyDescent="0.25">
      <c r="A3549" s="62" t="s">
        <v>7520</v>
      </c>
      <c r="B3549" s="63" t="s">
        <v>7521</v>
      </c>
      <c r="C3549" s="79" t="s">
        <v>9021</v>
      </c>
    </row>
    <row r="3550" spans="1:3" x14ac:dyDescent="0.25">
      <c r="A3550" s="62" t="s">
        <v>7522</v>
      </c>
      <c r="B3550" s="63" t="s">
        <v>7523</v>
      </c>
      <c r="C3550" s="79" t="s">
        <v>8833</v>
      </c>
    </row>
    <row r="3551" spans="1:3" x14ac:dyDescent="0.25">
      <c r="A3551" s="62" t="s">
        <v>7524</v>
      </c>
      <c r="B3551" s="63" t="s">
        <v>7525</v>
      </c>
      <c r="C3551" s="79" t="s">
        <v>8833</v>
      </c>
    </row>
    <row r="3552" spans="1:3" x14ac:dyDescent="0.25">
      <c r="A3552" s="62" t="s">
        <v>7526</v>
      </c>
      <c r="B3552" s="63" t="s">
        <v>7527</v>
      </c>
      <c r="C3552" s="79" t="s">
        <v>9019</v>
      </c>
    </row>
    <row r="3553" spans="1:3" x14ac:dyDescent="0.25">
      <c r="A3553" s="62" t="s">
        <v>7528</v>
      </c>
      <c r="B3553" s="63" t="s">
        <v>7529</v>
      </c>
      <c r="C3553" s="79" t="s">
        <v>9019</v>
      </c>
    </row>
    <row r="3554" spans="1:3" x14ac:dyDescent="0.25">
      <c r="A3554" s="62" t="s">
        <v>7530</v>
      </c>
      <c r="B3554" s="63" t="s">
        <v>7531</v>
      </c>
      <c r="C3554" s="79" t="s">
        <v>9020</v>
      </c>
    </row>
    <row r="3555" spans="1:3" x14ac:dyDescent="0.25">
      <c r="A3555" s="62" t="s">
        <v>7532</v>
      </c>
      <c r="B3555" s="63" t="s">
        <v>7533</v>
      </c>
      <c r="C3555" s="79" t="s">
        <v>9020</v>
      </c>
    </row>
    <row r="3556" spans="1:3" x14ac:dyDescent="0.25">
      <c r="A3556" s="62" t="s">
        <v>7534</v>
      </c>
      <c r="B3556" s="63" t="s">
        <v>7535</v>
      </c>
      <c r="C3556" s="79" t="s">
        <v>9021</v>
      </c>
    </row>
    <row r="3557" spans="1:3" x14ac:dyDescent="0.25">
      <c r="A3557" s="62" t="s">
        <v>7536</v>
      </c>
      <c r="B3557" s="63" t="s">
        <v>7537</v>
      </c>
      <c r="C3557" s="79" t="s">
        <v>9021</v>
      </c>
    </row>
    <row r="3558" spans="1:3" ht="31.5" x14ac:dyDescent="0.25">
      <c r="A3558" s="62" t="s">
        <v>7538</v>
      </c>
      <c r="B3558" s="63" t="s">
        <v>7539</v>
      </c>
      <c r="C3558" s="79" t="s">
        <v>8895</v>
      </c>
    </row>
    <row r="3559" spans="1:3" ht="31.5" x14ac:dyDescent="0.25">
      <c r="A3559" s="62" t="s">
        <v>7540</v>
      </c>
      <c r="B3559" s="63" t="s">
        <v>7541</v>
      </c>
      <c r="C3559" s="79" t="s">
        <v>8895</v>
      </c>
    </row>
    <row r="3560" spans="1:3" x14ac:dyDescent="0.25">
      <c r="A3560" s="62" t="s">
        <v>7542</v>
      </c>
      <c r="B3560" s="63" t="s">
        <v>7543</v>
      </c>
      <c r="C3560" s="79" t="s">
        <v>8895</v>
      </c>
    </row>
    <row r="3561" spans="1:3" x14ac:dyDescent="0.25">
      <c r="A3561" s="62" t="s">
        <v>7544</v>
      </c>
      <c r="B3561" s="63" t="s">
        <v>7545</v>
      </c>
      <c r="C3561" s="79" t="s">
        <v>8895</v>
      </c>
    </row>
    <row r="3562" spans="1:3" ht="31.5" x14ac:dyDescent="0.25">
      <c r="A3562" s="62" t="s">
        <v>7546</v>
      </c>
      <c r="B3562" s="63" t="s">
        <v>7547</v>
      </c>
      <c r="C3562" s="79" t="s">
        <v>8895</v>
      </c>
    </row>
    <row r="3563" spans="1:3" ht="31.5" x14ac:dyDescent="0.25">
      <c r="A3563" s="62" t="s">
        <v>7548</v>
      </c>
      <c r="B3563" s="63" t="s">
        <v>7549</v>
      </c>
      <c r="C3563" s="79" t="s">
        <v>8895</v>
      </c>
    </row>
    <row r="3564" spans="1:3" ht="31.5" x14ac:dyDescent="0.25">
      <c r="A3564" s="62" t="s">
        <v>7550</v>
      </c>
      <c r="B3564" s="63" t="s">
        <v>7551</v>
      </c>
      <c r="C3564" s="79" t="s">
        <v>8895</v>
      </c>
    </row>
    <row r="3565" spans="1:3" ht="31.5" x14ac:dyDescent="0.25">
      <c r="A3565" s="62" t="s">
        <v>7552</v>
      </c>
      <c r="B3565" s="63" t="s">
        <v>7553</v>
      </c>
      <c r="C3565" s="79" t="s">
        <v>8895</v>
      </c>
    </row>
    <row r="3566" spans="1:3" ht="31.5" x14ac:dyDescent="0.25">
      <c r="A3566" s="62" t="s">
        <v>7554</v>
      </c>
      <c r="B3566" s="63" t="s">
        <v>7555</v>
      </c>
      <c r="C3566" s="79" t="s">
        <v>8895</v>
      </c>
    </row>
    <row r="3567" spans="1:3" ht="31.5" x14ac:dyDescent="0.25">
      <c r="A3567" s="62" t="s">
        <v>7556</v>
      </c>
      <c r="B3567" s="63" t="s">
        <v>7557</v>
      </c>
      <c r="C3567" s="79" t="s">
        <v>8895</v>
      </c>
    </row>
    <row r="3568" spans="1:3" x14ac:dyDescent="0.25">
      <c r="A3568" s="62" t="s">
        <v>7558</v>
      </c>
      <c r="B3568" s="63" t="s">
        <v>7559</v>
      </c>
      <c r="C3568" s="79" t="s">
        <v>9022</v>
      </c>
    </row>
    <row r="3569" spans="1:3" x14ac:dyDescent="0.25">
      <c r="A3569" s="62" t="s">
        <v>7560</v>
      </c>
      <c r="B3569" s="63" t="s">
        <v>7561</v>
      </c>
      <c r="C3569" s="79" t="s">
        <v>9022</v>
      </c>
    </row>
    <row r="3570" spans="1:3" ht="18" x14ac:dyDescent="0.25">
      <c r="A3570" s="182"/>
      <c r="B3570" s="182" t="s">
        <v>9023</v>
      </c>
      <c r="C3570" s="183"/>
    </row>
    <row r="3571" spans="1:3" x14ac:dyDescent="0.25">
      <c r="A3571" s="62" t="s">
        <v>7562</v>
      </c>
      <c r="B3571" s="63" t="s">
        <v>7563</v>
      </c>
      <c r="C3571" s="79" t="s">
        <v>8689</v>
      </c>
    </row>
    <row r="3572" spans="1:3" x14ac:dyDescent="0.25">
      <c r="A3572" s="62" t="s">
        <v>7564</v>
      </c>
      <c r="B3572" s="63" t="s">
        <v>7565</v>
      </c>
      <c r="C3572" s="79" t="s">
        <v>8689</v>
      </c>
    </row>
    <row r="3573" spans="1:3" ht="18" x14ac:dyDescent="0.25">
      <c r="A3573" s="182"/>
      <c r="B3573" s="182" t="s">
        <v>9024</v>
      </c>
      <c r="C3573" s="183"/>
    </row>
    <row r="3574" spans="1:3" x14ac:dyDescent="0.25">
      <c r="A3574" s="62" t="s">
        <v>7566</v>
      </c>
      <c r="B3574" s="63" t="s">
        <v>7567</v>
      </c>
      <c r="C3574" s="79" t="s">
        <v>8431</v>
      </c>
    </row>
    <row r="3575" spans="1:3" ht="18" x14ac:dyDescent="0.25">
      <c r="A3575" s="182"/>
      <c r="B3575" s="182" t="s">
        <v>9025</v>
      </c>
      <c r="C3575" s="183"/>
    </row>
    <row r="3576" spans="1:3" x14ac:dyDescent="0.25">
      <c r="A3576" s="62" t="s">
        <v>7568</v>
      </c>
      <c r="B3576" s="63" t="s">
        <v>7569</v>
      </c>
      <c r="C3576" s="79" t="s">
        <v>8783</v>
      </c>
    </row>
    <row r="3577" spans="1:3" x14ac:dyDescent="0.25">
      <c r="A3577" s="62" t="s">
        <v>7570</v>
      </c>
      <c r="B3577" s="63" t="s">
        <v>7571</v>
      </c>
      <c r="C3577" s="79" t="s">
        <v>8721</v>
      </c>
    </row>
    <row r="3578" spans="1:3" ht="31.5" x14ac:dyDescent="0.25">
      <c r="A3578" s="62" t="s">
        <v>7572</v>
      </c>
      <c r="B3578" s="63" t="s">
        <v>7573</v>
      </c>
      <c r="C3578" s="79" t="s">
        <v>8833</v>
      </c>
    </row>
    <row r="3579" spans="1:3" ht="31.5" x14ac:dyDescent="0.25">
      <c r="A3579" s="62" t="s">
        <v>7574</v>
      </c>
      <c r="B3579" s="63" t="s">
        <v>7575</v>
      </c>
      <c r="C3579" s="79" t="s">
        <v>8694</v>
      </c>
    </row>
    <row r="3580" spans="1:3" x14ac:dyDescent="0.25">
      <c r="A3580" s="62" t="s">
        <v>7576</v>
      </c>
      <c r="B3580" s="63" t="s">
        <v>7577</v>
      </c>
      <c r="C3580" s="79" t="s">
        <v>8936</v>
      </c>
    </row>
    <row r="3581" spans="1:3" x14ac:dyDescent="0.25">
      <c r="A3581" s="62" t="s">
        <v>7578</v>
      </c>
      <c r="B3581" s="63" t="s">
        <v>7579</v>
      </c>
      <c r="C3581" s="79" t="s">
        <v>8705</v>
      </c>
    </row>
    <row r="3582" spans="1:3" x14ac:dyDescent="0.25">
      <c r="A3582" s="62" t="s">
        <v>7580</v>
      </c>
      <c r="B3582" s="63" t="s">
        <v>7581</v>
      </c>
      <c r="C3582" s="79" t="s">
        <v>9026</v>
      </c>
    </row>
    <row r="3583" spans="1:3" x14ac:dyDescent="0.25">
      <c r="A3583" s="62" t="s">
        <v>7582</v>
      </c>
      <c r="B3583" s="63" t="s">
        <v>7583</v>
      </c>
      <c r="C3583" s="79" t="s">
        <v>8958</v>
      </c>
    </row>
    <row r="3584" spans="1:3" x14ac:dyDescent="0.25">
      <c r="A3584" s="62" t="s">
        <v>7584</v>
      </c>
      <c r="B3584" s="63" t="s">
        <v>7585</v>
      </c>
      <c r="C3584" s="79" t="s">
        <v>8958</v>
      </c>
    </row>
    <row r="3585" spans="1:3" x14ac:dyDescent="0.25">
      <c r="A3585" s="62" t="s">
        <v>7586</v>
      </c>
      <c r="B3585" s="63" t="s">
        <v>7587</v>
      </c>
      <c r="C3585" s="79" t="s">
        <v>8874</v>
      </c>
    </row>
    <row r="3586" spans="1:3" x14ac:dyDescent="0.25">
      <c r="A3586" s="62" t="s">
        <v>7588</v>
      </c>
      <c r="B3586" s="63" t="s">
        <v>7589</v>
      </c>
      <c r="C3586" s="79" t="s">
        <v>8958</v>
      </c>
    </row>
    <row r="3587" spans="1:3" x14ac:dyDescent="0.25">
      <c r="A3587" s="62" t="s">
        <v>7590</v>
      </c>
      <c r="B3587" s="63" t="s">
        <v>7591</v>
      </c>
      <c r="C3587" s="79" t="s">
        <v>8874</v>
      </c>
    </row>
    <row r="3588" spans="1:3" x14ac:dyDescent="0.25">
      <c r="A3588" s="62" t="s">
        <v>7592</v>
      </c>
      <c r="B3588" s="63" t="s">
        <v>7593</v>
      </c>
      <c r="C3588" s="79" t="s">
        <v>8958</v>
      </c>
    </row>
    <row r="3589" spans="1:3" ht="31.5" x14ac:dyDescent="0.25">
      <c r="A3589" s="62" t="s">
        <v>7594</v>
      </c>
      <c r="B3589" s="63" t="s">
        <v>7595</v>
      </c>
      <c r="C3589" s="79" t="s">
        <v>9022</v>
      </c>
    </row>
    <row r="3590" spans="1:3" ht="31.5" x14ac:dyDescent="0.25">
      <c r="A3590" s="62" t="s">
        <v>7596</v>
      </c>
      <c r="B3590" s="63" t="s">
        <v>7597</v>
      </c>
      <c r="C3590" s="79" t="s">
        <v>8850</v>
      </c>
    </row>
    <row r="3591" spans="1:3" ht="31.5" x14ac:dyDescent="0.25">
      <c r="A3591" s="62" t="s">
        <v>7598</v>
      </c>
      <c r="B3591" s="63" t="s">
        <v>7599</v>
      </c>
      <c r="C3591" s="79" t="s">
        <v>8789</v>
      </c>
    </row>
    <row r="3592" spans="1:3" x14ac:dyDescent="0.25">
      <c r="A3592" s="62" t="s">
        <v>7600</v>
      </c>
      <c r="B3592" s="63" t="s">
        <v>7601</v>
      </c>
      <c r="C3592" s="79" t="s">
        <v>8676</v>
      </c>
    </row>
    <row r="3593" spans="1:3" x14ac:dyDescent="0.25">
      <c r="A3593" s="62" t="s">
        <v>7602</v>
      </c>
      <c r="B3593" s="63" t="s">
        <v>7603</v>
      </c>
      <c r="C3593" s="79" t="s">
        <v>8676</v>
      </c>
    </row>
    <row r="3594" spans="1:3" ht="31.5" x14ac:dyDescent="0.25">
      <c r="A3594" s="62" t="s">
        <v>7604</v>
      </c>
      <c r="B3594" s="63" t="s">
        <v>7605</v>
      </c>
      <c r="C3594" s="79" t="s">
        <v>9027</v>
      </c>
    </row>
    <row r="3595" spans="1:3" ht="31.5" x14ac:dyDescent="0.25">
      <c r="A3595" s="62" t="s">
        <v>7606</v>
      </c>
      <c r="B3595" s="63" t="s">
        <v>7607</v>
      </c>
      <c r="C3595" s="79" t="s">
        <v>9027</v>
      </c>
    </row>
    <row r="3596" spans="1:3" x14ac:dyDescent="0.25">
      <c r="A3596" s="62" t="s">
        <v>7608</v>
      </c>
      <c r="B3596" s="63" t="s">
        <v>7609</v>
      </c>
      <c r="C3596" s="79" t="s">
        <v>8439</v>
      </c>
    </row>
    <row r="3597" spans="1:3" ht="31.5" x14ac:dyDescent="0.25">
      <c r="A3597" s="62" t="s">
        <v>7610</v>
      </c>
      <c r="B3597" s="63" t="s">
        <v>7611</v>
      </c>
      <c r="C3597" s="79" t="s">
        <v>8958</v>
      </c>
    </row>
    <row r="3598" spans="1:3" ht="31.5" x14ac:dyDescent="0.25">
      <c r="A3598" s="62" t="s">
        <v>7612</v>
      </c>
      <c r="B3598" s="63" t="s">
        <v>7613</v>
      </c>
      <c r="C3598" s="79" t="s">
        <v>8800</v>
      </c>
    </row>
    <row r="3599" spans="1:3" ht="31.5" x14ac:dyDescent="0.25">
      <c r="A3599" s="62" t="s">
        <v>7614</v>
      </c>
      <c r="B3599" s="63" t="s">
        <v>7615</v>
      </c>
      <c r="C3599" s="79" t="s">
        <v>8800</v>
      </c>
    </row>
    <row r="3600" spans="1:3" ht="31.5" x14ac:dyDescent="0.25">
      <c r="A3600" s="62" t="s">
        <v>7616</v>
      </c>
      <c r="B3600" s="63" t="s">
        <v>7617</v>
      </c>
      <c r="C3600" s="79" t="s">
        <v>9028</v>
      </c>
    </row>
    <row r="3601" spans="1:3" ht="31.5" x14ac:dyDescent="0.25">
      <c r="A3601" s="62" t="s">
        <v>7618</v>
      </c>
      <c r="B3601" s="63" t="s">
        <v>7619</v>
      </c>
      <c r="C3601" s="79" t="s">
        <v>9029</v>
      </c>
    </row>
    <row r="3602" spans="1:3" ht="31.5" x14ac:dyDescent="0.25">
      <c r="A3602" s="62" t="s">
        <v>7620</v>
      </c>
      <c r="B3602" s="63" t="s">
        <v>7621</v>
      </c>
      <c r="C3602" s="79" t="s">
        <v>8705</v>
      </c>
    </row>
    <row r="3603" spans="1:3" ht="47.25" x14ac:dyDescent="0.25">
      <c r="A3603" s="62" t="s">
        <v>7622</v>
      </c>
      <c r="B3603" s="63" t="s">
        <v>7623</v>
      </c>
      <c r="C3603" s="79" t="s">
        <v>8787</v>
      </c>
    </row>
    <row r="3604" spans="1:3" ht="31.5" x14ac:dyDescent="0.25">
      <c r="A3604" s="62" t="s">
        <v>7624</v>
      </c>
      <c r="B3604" s="63" t="s">
        <v>7625</v>
      </c>
      <c r="C3604" s="79" t="s">
        <v>8431</v>
      </c>
    </row>
    <row r="3605" spans="1:3" ht="31.5" x14ac:dyDescent="0.25">
      <c r="A3605" s="62" t="s">
        <v>7626</v>
      </c>
      <c r="B3605" s="63" t="s">
        <v>7627</v>
      </c>
      <c r="C3605" s="79" t="s">
        <v>8834</v>
      </c>
    </row>
    <row r="3606" spans="1:3" ht="31.5" x14ac:dyDescent="0.25">
      <c r="A3606" s="62" t="s">
        <v>7628</v>
      </c>
      <c r="B3606" s="63" t="s">
        <v>7629</v>
      </c>
      <c r="C3606" s="79" t="s">
        <v>9007</v>
      </c>
    </row>
    <row r="3607" spans="1:3" ht="31.5" x14ac:dyDescent="0.25">
      <c r="A3607" s="62" t="s">
        <v>7630</v>
      </c>
      <c r="B3607" s="63" t="s">
        <v>7631</v>
      </c>
      <c r="C3607" s="79" t="s">
        <v>9007</v>
      </c>
    </row>
    <row r="3608" spans="1:3" ht="31.5" x14ac:dyDescent="0.25">
      <c r="A3608" s="62" t="s">
        <v>7632</v>
      </c>
      <c r="B3608" s="63" t="s">
        <v>7633</v>
      </c>
      <c r="C3608" s="79" t="s">
        <v>8431</v>
      </c>
    </row>
    <row r="3609" spans="1:3" x14ac:dyDescent="0.25">
      <c r="A3609" s="62" t="s">
        <v>7634</v>
      </c>
      <c r="B3609" s="63" t="s">
        <v>7635</v>
      </c>
      <c r="C3609" s="79" t="s">
        <v>8774</v>
      </c>
    </row>
    <row r="3610" spans="1:3" x14ac:dyDescent="0.25">
      <c r="A3610" s="62" t="s">
        <v>7636</v>
      </c>
      <c r="B3610" s="63" t="s">
        <v>7637</v>
      </c>
      <c r="C3610" s="79" t="s">
        <v>8874</v>
      </c>
    </row>
    <row r="3611" spans="1:3" x14ac:dyDescent="0.25">
      <c r="A3611" s="62" t="s">
        <v>7638</v>
      </c>
      <c r="B3611" s="63" t="s">
        <v>7639</v>
      </c>
      <c r="C3611" s="79" t="s">
        <v>8715</v>
      </c>
    </row>
    <row r="3612" spans="1:3" x14ac:dyDescent="0.25">
      <c r="A3612" s="62" t="s">
        <v>7640</v>
      </c>
      <c r="B3612" s="63" t="s">
        <v>7641</v>
      </c>
      <c r="C3612" s="79" t="s">
        <v>8715</v>
      </c>
    </row>
    <row r="3613" spans="1:3" x14ac:dyDescent="0.25">
      <c r="A3613" s="62" t="s">
        <v>7642</v>
      </c>
      <c r="B3613" s="63" t="s">
        <v>7643</v>
      </c>
      <c r="C3613" s="79" t="s">
        <v>8742</v>
      </c>
    </row>
    <row r="3614" spans="1:3" x14ac:dyDescent="0.25">
      <c r="A3614" s="62" t="s">
        <v>7644</v>
      </c>
      <c r="B3614" s="63" t="s">
        <v>7645</v>
      </c>
      <c r="C3614" s="79" t="s">
        <v>8742</v>
      </c>
    </row>
    <row r="3615" spans="1:3" x14ac:dyDescent="0.25">
      <c r="A3615" s="62" t="s">
        <v>7646</v>
      </c>
      <c r="B3615" s="63" t="s">
        <v>7647</v>
      </c>
      <c r="C3615" s="79" t="s">
        <v>8860</v>
      </c>
    </row>
    <row r="3616" spans="1:3" ht="31.5" x14ac:dyDescent="0.25">
      <c r="A3616" s="62" t="s">
        <v>7648</v>
      </c>
      <c r="B3616" s="63" t="s">
        <v>7649</v>
      </c>
      <c r="C3616" s="79" t="s">
        <v>8726</v>
      </c>
    </row>
    <row r="3617" spans="1:3" ht="31.5" x14ac:dyDescent="0.25">
      <c r="A3617" s="62" t="s">
        <v>7650</v>
      </c>
      <c r="B3617" s="63" t="s">
        <v>7651</v>
      </c>
      <c r="C3617" s="79" t="s">
        <v>8726</v>
      </c>
    </row>
    <row r="3618" spans="1:3" ht="31.5" x14ac:dyDescent="0.25">
      <c r="A3618" s="62" t="s">
        <v>7652</v>
      </c>
      <c r="B3618" s="63" t="s">
        <v>7653</v>
      </c>
      <c r="C3618" s="79" t="s">
        <v>8726</v>
      </c>
    </row>
    <row r="3619" spans="1:3" ht="31.5" x14ac:dyDescent="0.25">
      <c r="A3619" s="62" t="s">
        <v>7654</v>
      </c>
      <c r="B3619" s="63" t="s">
        <v>7655</v>
      </c>
      <c r="C3619" s="79" t="s">
        <v>8694</v>
      </c>
    </row>
    <row r="3620" spans="1:3" ht="31.5" x14ac:dyDescent="0.25">
      <c r="A3620" s="62" t="s">
        <v>7656</v>
      </c>
      <c r="B3620" s="63" t="s">
        <v>7657</v>
      </c>
      <c r="C3620" s="79" t="s">
        <v>8694</v>
      </c>
    </row>
    <row r="3621" spans="1:3" ht="31.5" x14ac:dyDescent="0.25">
      <c r="A3621" s="62" t="s">
        <v>7658</v>
      </c>
      <c r="B3621" s="63" t="s">
        <v>7659</v>
      </c>
      <c r="C3621" s="79" t="s">
        <v>8864</v>
      </c>
    </row>
    <row r="3622" spans="1:3" ht="31.5" x14ac:dyDescent="0.25">
      <c r="A3622" s="62" t="s">
        <v>7660</v>
      </c>
      <c r="B3622" s="63" t="s">
        <v>7661</v>
      </c>
      <c r="C3622" s="79" t="s">
        <v>8864</v>
      </c>
    </row>
    <row r="3623" spans="1:3" ht="31.5" x14ac:dyDescent="0.25">
      <c r="A3623" s="62" t="s">
        <v>7662</v>
      </c>
      <c r="B3623" s="63" t="s">
        <v>7663</v>
      </c>
      <c r="C3623" s="79" t="s">
        <v>8864</v>
      </c>
    </row>
    <row r="3624" spans="1:3" ht="31.5" x14ac:dyDescent="0.25">
      <c r="A3624" s="62" t="s">
        <v>7664</v>
      </c>
      <c r="B3624" s="63" t="s">
        <v>7665</v>
      </c>
      <c r="C3624" s="79" t="s">
        <v>8661</v>
      </c>
    </row>
    <row r="3625" spans="1:3" ht="31.5" x14ac:dyDescent="0.25">
      <c r="A3625" s="62" t="s">
        <v>7666</v>
      </c>
      <c r="B3625" s="63" t="s">
        <v>7667</v>
      </c>
      <c r="C3625" s="79" t="s">
        <v>8712</v>
      </c>
    </row>
    <row r="3626" spans="1:3" ht="47.25" x14ac:dyDescent="0.25">
      <c r="A3626" s="62" t="s">
        <v>7668</v>
      </c>
      <c r="B3626" s="63" t="s">
        <v>7669</v>
      </c>
      <c r="C3626" s="79" t="s">
        <v>9030</v>
      </c>
    </row>
    <row r="3627" spans="1:3" ht="31.5" x14ac:dyDescent="0.25">
      <c r="A3627" s="62" t="s">
        <v>7670</v>
      </c>
      <c r="B3627" s="63" t="s">
        <v>7671</v>
      </c>
      <c r="C3627" s="79" t="s">
        <v>8453</v>
      </c>
    </row>
    <row r="3628" spans="1:3" ht="47.25" x14ac:dyDescent="0.25">
      <c r="A3628" s="62" t="s">
        <v>7672</v>
      </c>
      <c r="B3628" s="63" t="s">
        <v>7673</v>
      </c>
      <c r="C3628" s="79" t="s">
        <v>9031</v>
      </c>
    </row>
    <row r="3629" spans="1:3" x14ac:dyDescent="0.25">
      <c r="A3629" s="62" t="s">
        <v>7674</v>
      </c>
      <c r="B3629" s="63" t="s">
        <v>7675</v>
      </c>
      <c r="C3629" s="79" t="s">
        <v>8715</v>
      </c>
    </row>
    <row r="3630" spans="1:3" x14ac:dyDescent="0.25">
      <c r="A3630" s="62" t="s">
        <v>7676</v>
      </c>
      <c r="B3630" s="63" t="s">
        <v>7677</v>
      </c>
      <c r="C3630" s="79" t="s">
        <v>8715</v>
      </c>
    </row>
    <row r="3631" spans="1:3" x14ac:dyDescent="0.25">
      <c r="A3631" s="62" t="s">
        <v>7678</v>
      </c>
      <c r="B3631" s="63" t="s">
        <v>7679</v>
      </c>
      <c r="C3631" s="79" t="s">
        <v>8742</v>
      </c>
    </row>
    <row r="3632" spans="1:3" x14ac:dyDescent="0.25">
      <c r="A3632" s="62" t="s">
        <v>7680</v>
      </c>
      <c r="B3632" s="63" t="s">
        <v>7681</v>
      </c>
      <c r="C3632" s="79" t="s">
        <v>8742</v>
      </c>
    </row>
    <row r="3633" spans="1:3" ht="31.5" x14ac:dyDescent="0.25">
      <c r="A3633" s="62" t="s">
        <v>7682</v>
      </c>
      <c r="B3633" s="63" t="s">
        <v>7683</v>
      </c>
      <c r="C3633" s="79" t="s">
        <v>8742</v>
      </c>
    </row>
    <row r="3634" spans="1:3" x14ac:dyDescent="0.25">
      <c r="A3634" s="62" t="s">
        <v>7684</v>
      </c>
      <c r="B3634" s="63" t="s">
        <v>7685</v>
      </c>
      <c r="C3634" s="79" t="s">
        <v>8860</v>
      </c>
    </row>
    <row r="3635" spans="1:3" ht="31.5" x14ac:dyDescent="0.25">
      <c r="A3635" s="62" t="s">
        <v>7686</v>
      </c>
      <c r="B3635" s="63" t="s">
        <v>7687</v>
      </c>
      <c r="C3635" s="79" t="s">
        <v>8726</v>
      </c>
    </row>
    <row r="3636" spans="1:3" ht="31.5" x14ac:dyDescent="0.25">
      <c r="A3636" s="62" t="s">
        <v>7688</v>
      </c>
      <c r="B3636" s="63" t="s">
        <v>7689</v>
      </c>
      <c r="C3636" s="79" t="s">
        <v>8694</v>
      </c>
    </row>
    <row r="3637" spans="1:3" ht="31.5" x14ac:dyDescent="0.25">
      <c r="A3637" s="62" t="s">
        <v>7690</v>
      </c>
      <c r="B3637" s="63" t="s">
        <v>7691</v>
      </c>
      <c r="C3637" s="79" t="s">
        <v>8694</v>
      </c>
    </row>
    <row r="3638" spans="1:3" ht="31.5" x14ac:dyDescent="0.25">
      <c r="A3638" s="62" t="s">
        <v>7692</v>
      </c>
      <c r="B3638" s="63" t="s">
        <v>7693</v>
      </c>
      <c r="C3638" s="79" t="s">
        <v>8926</v>
      </c>
    </row>
    <row r="3639" spans="1:3" ht="31.5" x14ac:dyDescent="0.25">
      <c r="A3639" s="62" t="s">
        <v>7694</v>
      </c>
      <c r="B3639" s="63" t="s">
        <v>7695</v>
      </c>
      <c r="C3639" s="79" t="s">
        <v>8864</v>
      </c>
    </row>
    <row r="3640" spans="1:3" ht="31.5" x14ac:dyDescent="0.25">
      <c r="A3640" s="62" t="s">
        <v>7696</v>
      </c>
      <c r="B3640" s="63" t="s">
        <v>7697</v>
      </c>
      <c r="C3640" s="79" t="s">
        <v>8864</v>
      </c>
    </row>
    <row r="3641" spans="1:3" ht="31.5" x14ac:dyDescent="0.25">
      <c r="A3641" s="62" t="s">
        <v>7698</v>
      </c>
      <c r="B3641" s="63" t="s">
        <v>7699</v>
      </c>
      <c r="C3641" s="79" t="s">
        <v>8435</v>
      </c>
    </row>
    <row r="3642" spans="1:3" ht="31.5" x14ac:dyDescent="0.25">
      <c r="A3642" s="62" t="s">
        <v>7700</v>
      </c>
      <c r="B3642" s="63" t="s">
        <v>7701</v>
      </c>
      <c r="C3642" s="79" t="s">
        <v>8435</v>
      </c>
    </row>
    <row r="3643" spans="1:3" ht="31.5" x14ac:dyDescent="0.25">
      <c r="A3643" s="62" t="s">
        <v>7702</v>
      </c>
      <c r="B3643" s="63" t="s">
        <v>7703</v>
      </c>
      <c r="C3643" s="79" t="s">
        <v>8649</v>
      </c>
    </row>
    <row r="3644" spans="1:3" ht="31.5" x14ac:dyDescent="0.25">
      <c r="A3644" s="62" t="s">
        <v>7704</v>
      </c>
      <c r="B3644" s="63" t="s">
        <v>7705</v>
      </c>
      <c r="C3644" s="79" t="s">
        <v>8649</v>
      </c>
    </row>
    <row r="3645" spans="1:3" x14ac:dyDescent="0.25">
      <c r="A3645" s="62" t="s">
        <v>7706</v>
      </c>
      <c r="B3645" s="63" t="s">
        <v>7707</v>
      </c>
      <c r="C3645" s="79" t="s">
        <v>8694</v>
      </c>
    </row>
    <row r="3646" spans="1:3" ht="31.5" x14ac:dyDescent="0.25">
      <c r="A3646" s="62" t="s">
        <v>7708</v>
      </c>
      <c r="B3646" s="63" t="s">
        <v>7709</v>
      </c>
      <c r="C3646" s="79" t="s">
        <v>8864</v>
      </c>
    </row>
    <row r="3647" spans="1:3" ht="31.5" x14ac:dyDescent="0.25">
      <c r="A3647" s="62" t="s">
        <v>7710</v>
      </c>
      <c r="B3647" s="63" t="s">
        <v>7711</v>
      </c>
      <c r="C3647" s="79" t="s">
        <v>8899</v>
      </c>
    </row>
    <row r="3648" spans="1:3" x14ac:dyDescent="0.25">
      <c r="A3648" s="62" t="s">
        <v>7712</v>
      </c>
      <c r="B3648" s="63" t="s">
        <v>7713</v>
      </c>
      <c r="C3648" s="79" t="s">
        <v>8899</v>
      </c>
    </row>
    <row r="3649" spans="1:3" ht="31.5" x14ac:dyDescent="0.25">
      <c r="A3649" s="62" t="s">
        <v>7714</v>
      </c>
      <c r="B3649" s="63" t="s">
        <v>7715</v>
      </c>
      <c r="C3649" s="79" t="s">
        <v>8899</v>
      </c>
    </row>
    <row r="3650" spans="1:3" ht="31.5" x14ac:dyDescent="0.25">
      <c r="A3650" s="62" t="s">
        <v>7716</v>
      </c>
      <c r="B3650" s="63" t="s">
        <v>7717</v>
      </c>
      <c r="C3650" s="79" t="s">
        <v>8899</v>
      </c>
    </row>
    <row r="3651" spans="1:3" x14ac:dyDescent="0.25">
      <c r="A3651" s="62" t="s">
        <v>7718</v>
      </c>
      <c r="B3651" s="63" t="s">
        <v>7719</v>
      </c>
      <c r="C3651" s="79" t="s">
        <v>8850</v>
      </c>
    </row>
    <row r="3652" spans="1:3" ht="31.5" x14ac:dyDescent="0.25">
      <c r="A3652" s="62" t="s">
        <v>7720</v>
      </c>
      <c r="B3652" s="63" t="s">
        <v>7721</v>
      </c>
      <c r="C3652" s="79" t="s">
        <v>8438</v>
      </c>
    </row>
    <row r="3653" spans="1:3" ht="31.5" x14ac:dyDescent="0.25">
      <c r="A3653" s="62" t="s">
        <v>7722</v>
      </c>
      <c r="B3653" s="63" t="s">
        <v>7723</v>
      </c>
      <c r="C3653" s="79" t="s">
        <v>8947</v>
      </c>
    </row>
    <row r="3654" spans="1:3" ht="31.5" x14ac:dyDescent="0.25">
      <c r="A3654" s="62" t="s">
        <v>7724</v>
      </c>
      <c r="B3654" s="63" t="s">
        <v>7725</v>
      </c>
      <c r="C3654" s="79" t="s">
        <v>8485</v>
      </c>
    </row>
    <row r="3655" spans="1:3" ht="31.5" x14ac:dyDescent="0.25">
      <c r="A3655" s="62" t="s">
        <v>7726</v>
      </c>
      <c r="B3655" s="63" t="s">
        <v>7727</v>
      </c>
      <c r="C3655" s="79" t="s">
        <v>8936</v>
      </c>
    </row>
    <row r="3656" spans="1:3" ht="31.5" x14ac:dyDescent="0.25">
      <c r="A3656" s="62" t="s">
        <v>7728</v>
      </c>
      <c r="B3656" s="63" t="s">
        <v>7729</v>
      </c>
      <c r="C3656" s="79" t="s">
        <v>8485</v>
      </c>
    </row>
    <row r="3657" spans="1:3" ht="31.5" x14ac:dyDescent="0.25">
      <c r="A3657" s="62" t="s">
        <v>7730</v>
      </c>
      <c r="B3657" s="63" t="s">
        <v>7731</v>
      </c>
      <c r="C3657" s="79" t="s">
        <v>9031</v>
      </c>
    </row>
    <row r="3658" spans="1:3" ht="31.5" x14ac:dyDescent="0.25">
      <c r="A3658" s="62" t="s">
        <v>7732</v>
      </c>
      <c r="B3658" s="63" t="s">
        <v>7733</v>
      </c>
      <c r="C3658" s="79" t="s">
        <v>8668</v>
      </c>
    </row>
    <row r="3659" spans="1:3" ht="31.5" x14ac:dyDescent="0.25">
      <c r="A3659" s="62" t="s">
        <v>7734</v>
      </c>
      <c r="B3659" s="63" t="s">
        <v>7735</v>
      </c>
      <c r="C3659" s="79" t="s">
        <v>8602</v>
      </c>
    </row>
    <row r="3660" spans="1:3" ht="31.5" x14ac:dyDescent="0.25">
      <c r="A3660" s="62" t="s">
        <v>7736</v>
      </c>
      <c r="B3660" s="63" t="s">
        <v>7737</v>
      </c>
      <c r="C3660" s="79" t="s">
        <v>8668</v>
      </c>
    </row>
    <row r="3661" spans="1:3" ht="31.5" x14ac:dyDescent="0.25">
      <c r="A3661" s="62" t="s">
        <v>7738</v>
      </c>
      <c r="B3661" s="63" t="s">
        <v>7739</v>
      </c>
      <c r="C3661" s="79" t="s">
        <v>8602</v>
      </c>
    </row>
    <row r="3662" spans="1:3" ht="31.5" x14ac:dyDescent="0.25">
      <c r="A3662" s="62" t="s">
        <v>7740</v>
      </c>
      <c r="B3662" s="63" t="s">
        <v>7741</v>
      </c>
      <c r="C3662" s="79" t="s">
        <v>8790</v>
      </c>
    </row>
    <row r="3663" spans="1:3" ht="31.5" x14ac:dyDescent="0.25">
      <c r="A3663" s="62" t="s">
        <v>7742</v>
      </c>
      <c r="B3663" s="63" t="s">
        <v>7743</v>
      </c>
      <c r="C3663" s="79" t="s">
        <v>8521</v>
      </c>
    </row>
    <row r="3664" spans="1:3" x14ac:dyDescent="0.25">
      <c r="A3664" s="62" t="s">
        <v>7744</v>
      </c>
      <c r="B3664" s="63" t="s">
        <v>7745</v>
      </c>
      <c r="C3664" s="79" t="s">
        <v>8697</v>
      </c>
    </row>
    <row r="3665" spans="1:3" x14ac:dyDescent="0.25">
      <c r="A3665" s="62" t="s">
        <v>7746</v>
      </c>
      <c r="B3665" s="63" t="s">
        <v>7747</v>
      </c>
      <c r="C3665" s="79" t="s">
        <v>8726</v>
      </c>
    </row>
    <row r="3666" spans="1:3" x14ac:dyDescent="0.25">
      <c r="A3666" s="62" t="s">
        <v>7748</v>
      </c>
      <c r="B3666" s="63" t="s">
        <v>7637</v>
      </c>
      <c r="C3666" s="79" t="s">
        <v>8874</v>
      </c>
    </row>
    <row r="3667" spans="1:3" x14ac:dyDescent="0.25">
      <c r="A3667" s="62" t="s">
        <v>7749</v>
      </c>
      <c r="B3667" s="63" t="s">
        <v>7750</v>
      </c>
      <c r="C3667" s="79" t="s">
        <v>8998</v>
      </c>
    </row>
    <row r="3668" spans="1:3" x14ac:dyDescent="0.25">
      <c r="A3668" s="62" t="s">
        <v>7751</v>
      </c>
      <c r="B3668" s="63" t="s">
        <v>7752</v>
      </c>
      <c r="C3668" s="79" t="s">
        <v>9032</v>
      </c>
    </row>
    <row r="3669" spans="1:3" x14ac:dyDescent="0.25">
      <c r="A3669" s="62" t="s">
        <v>7753</v>
      </c>
      <c r="B3669" s="63" t="s">
        <v>7754</v>
      </c>
      <c r="C3669" s="79" t="s">
        <v>9033</v>
      </c>
    </row>
    <row r="3670" spans="1:3" ht="47.25" x14ac:dyDescent="0.25">
      <c r="A3670" s="62" t="s">
        <v>7755</v>
      </c>
      <c r="B3670" s="63" t="s">
        <v>7756</v>
      </c>
      <c r="C3670" s="79" t="s">
        <v>9031</v>
      </c>
    </row>
    <row r="3671" spans="1:3" ht="31.5" x14ac:dyDescent="0.25">
      <c r="A3671" s="62" t="s">
        <v>7757</v>
      </c>
      <c r="B3671" s="63" t="s">
        <v>7758</v>
      </c>
      <c r="C3671" s="79" t="s">
        <v>8998</v>
      </c>
    </row>
    <row r="3672" spans="1:3" ht="31.5" x14ac:dyDescent="0.25">
      <c r="A3672" s="62" t="s">
        <v>7759</v>
      </c>
      <c r="B3672" s="63" t="s">
        <v>7760</v>
      </c>
      <c r="C3672" s="79" t="s">
        <v>8900</v>
      </c>
    </row>
    <row r="3673" spans="1:3" ht="47.25" x14ac:dyDescent="0.25">
      <c r="A3673" s="62" t="s">
        <v>7761</v>
      </c>
      <c r="B3673" s="63" t="s">
        <v>7762</v>
      </c>
      <c r="C3673" s="79" t="s">
        <v>9030</v>
      </c>
    </row>
    <row r="3674" spans="1:3" x14ac:dyDescent="0.25">
      <c r="A3674" s="62" t="s">
        <v>7763</v>
      </c>
      <c r="B3674" s="63" t="s">
        <v>7764</v>
      </c>
      <c r="C3674" s="79" t="s">
        <v>8651</v>
      </c>
    </row>
    <row r="3675" spans="1:3" x14ac:dyDescent="0.25">
      <c r="A3675" s="62" t="s">
        <v>7765</v>
      </c>
      <c r="B3675" s="63" t="s">
        <v>7766</v>
      </c>
      <c r="C3675" s="79" t="s">
        <v>8672</v>
      </c>
    </row>
    <row r="3676" spans="1:3" x14ac:dyDescent="0.25">
      <c r="A3676" s="62" t="s">
        <v>7767</v>
      </c>
      <c r="B3676" s="63" t="s">
        <v>7768</v>
      </c>
      <c r="C3676" s="79" t="s">
        <v>8777</v>
      </c>
    </row>
    <row r="3677" spans="1:3" x14ac:dyDescent="0.25">
      <c r="A3677" s="62" t="s">
        <v>7769</v>
      </c>
      <c r="B3677" s="63" t="s">
        <v>7770</v>
      </c>
      <c r="C3677" s="79" t="s">
        <v>8738</v>
      </c>
    </row>
    <row r="3678" spans="1:3" x14ac:dyDescent="0.25">
      <c r="A3678" s="62" t="s">
        <v>7771</v>
      </c>
      <c r="B3678" s="63" t="s">
        <v>7772</v>
      </c>
      <c r="C3678" s="79" t="s">
        <v>8738</v>
      </c>
    </row>
    <row r="3679" spans="1:3" x14ac:dyDescent="0.25">
      <c r="A3679" s="62" t="s">
        <v>7773</v>
      </c>
      <c r="B3679" s="63" t="s">
        <v>7774</v>
      </c>
      <c r="C3679" s="79" t="s">
        <v>8738</v>
      </c>
    </row>
    <row r="3680" spans="1:3" x14ac:dyDescent="0.25">
      <c r="A3680" s="62" t="s">
        <v>7775</v>
      </c>
      <c r="B3680" s="63" t="s">
        <v>7776</v>
      </c>
      <c r="C3680" s="79" t="s">
        <v>8738</v>
      </c>
    </row>
    <row r="3681" spans="1:3" x14ac:dyDescent="0.25">
      <c r="A3681" s="62" t="s">
        <v>7777</v>
      </c>
      <c r="B3681" s="63" t="s">
        <v>7778</v>
      </c>
      <c r="C3681" s="79" t="s">
        <v>8931</v>
      </c>
    </row>
    <row r="3682" spans="1:3" x14ac:dyDescent="0.25">
      <c r="A3682" s="62" t="s">
        <v>7779</v>
      </c>
      <c r="B3682" s="63" t="s">
        <v>7637</v>
      </c>
      <c r="C3682" s="79" t="s">
        <v>8894</v>
      </c>
    </row>
    <row r="3683" spans="1:3" x14ac:dyDescent="0.25">
      <c r="A3683" s="62" t="s">
        <v>7780</v>
      </c>
      <c r="B3683" s="63" t="s">
        <v>7781</v>
      </c>
      <c r="C3683" s="79" t="s">
        <v>8833</v>
      </c>
    </row>
    <row r="3684" spans="1:3" x14ac:dyDescent="0.25">
      <c r="A3684" s="62" t="s">
        <v>7782</v>
      </c>
      <c r="B3684" s="63" t="s">
        <v>7783</v>
      </c>
      <c r="C3684" s="79" t="s">
        <v>9034</v>
      </c>
    </row>
    <row r="3685" spans="1:3" x14ac:dyDescent="0.25">
      <c r="A3685" s="62" t="s">
        <v>7784</v>
      </c>
      <c r="B3685" s="63" t="s">
        <v>7785</v>
      </c>
      <c r="C3685" s="79" t="s">
        <v>8715</v>
      </c>
    </row>
    <row r="3686" spans="1:3" x14ac:dyDescent="0.25">
      <c r="A3686" s="62" t="s">
        <v>7786</v>
      </c>
      <c r="B3686" s="63" t="s">
        <v>7787</v>
      </c>
      <c r="C3686" s="79" t="s">
        <v>8783</v>
      </c>
    </row>
    <row r="3687" spans="1:3" ht="47.25" x14ac:dyDescent="0.25">
      <c r="A3687" s="62" t="s">
        <v>7788</v>
      </c>
      <c r="B3687" s="63" t="s">
        <v>7789</v>
      </c>
      <c r="C3687" s="79" t="s">
        <v>8859</v>
      </c>
    </row>
    <row r="3688" spans="1:3" ht="31.5" x14ac:dyDescent="0.25">
      <c r="A3688" s="62" t="s">
        <v>7790</v>
      </c>
      <c r="B3688" s="63" t="s">
        <v>7791</v>
      </c>
      <c r="C3688" s="79" t="s">
        <v>8859</v>
      </c>
    </row>
    <row r="3689" spans="1:3" ht="31.5" x14ac:dyDescent="0.25">
      <c r="A3689" s="62" t="s">
        <v>7792</v>
      </c>
      <c r="B3689" s="63" t="s">
        <v>7793</v>
      </c>
      <c r="C3689" s="79" t="s">
        <v>8859</v>
      </c>
    </row>
    <row r="3690" spans="1:3" ht="31.5" x14ac:dyDescent="0.25">
      <c r="A3690" s="62" t="s">
        <v>7794</v>
      </c>
      <c r="B3690" s="63" t="s">
        <v>7795</v>
      </c>
      <c r="C3690" s="79" t="s">
        <v>8859</v>
      </c>
    </row>
    <row r="3691" spans="1:3" ht="31.5" x14ac:dyDescent="0.25">
      <c r="A3691" s="62" t="s">
        <v>7796</v>
      </c>
      <c r="B3691" s="63" t="s">
        <v>7797</v>
      </c>
      <c r="C3691" s="79" t="s">
        <v>8859</v>
      </c>
    </row>
    <row r="3692" spans="1:3" ht="31.5" x14ac:dyDescent="0.25">
      <c r="A3692" s="62" t="s">
        <v>7798</v>
      </c>
      <c r="B3692" s="63" t="s">
        <v>7799</v>
      </c>
      <c r="C3692" s="79" t="s">
        <v>8859</v>
      </c>
    </row>
    <row r="3693" spans="1:3" ht="31.5" x14ac:dyDescent="0.25">
      <c r="A3693" s="62" t="s">
        <v>7800</v>
      </c>
      <c r="B3693" s="63" t="s">
        <v>7801</v>
      </c>
      <c r="C3693" s="79" t="s">
        <v>8859</v>
      </c>
    </row>
    <row r="3694" spans="1:3" ht="31.5" x14ac:dyDescent="0.25">
      <c r="A3694" s="62" t="s">
        <v>7802</v>
      </c>
      <c r="B3694" s="63" t="s">
        <v>7803</v>
      </c>
      <c r="C3694" s="79" t="s">
        <v>8859</v>
      </c>
    </row>
    <row r="3695" spans="1:3" ht="31.5" x14ac:dyDescent="0.25">
      <c r="A3695" s="62" t="s">
        <v>7804</v>
      </c>
      <c r="B3695" s="63" t="s">
        <v>7805</v>
      </c>
      <c r="C3695" s="79" t="s">
        <v>8859</v>
      </c>
    </row>
    <row r="3696" spans="1:3" ht="31.5" x14ac:dyDescent="0.25">
      <c r="A3696" s="62" t="s">
        <v>7806</v>
      </c>
      <c r="B3696" s="63" t="s">
        <v>7807</v>
      </c>
      <c r="C3696" s="79" t="s">
        <v>8795</v>
      </c>
    </row>
    <row r="3697" spans="1:3" ht="31.5" x14ac:dyDescent="0.25">
      <c r="A3697" s="62" t="s">
        <v>7808</v>
      </c>
      <c r="B3697" s="63" t="s">
        <v>7809</v>
      </c>
      <c r="C3697" s="79" t="s">
        <v>8859</v>
      </c>
    </row>
    <row r="3698" spans="1:3" ht="31.5" x14ac:dyDescent="0.25">
      <c r="A3698" s="62" t="s">
        <v>7810</v>
      </c>
      <c r="B3698" s="63" t="s">
        <v>7811</v>
      </c>
      <c r="C3698" s="79" t="s">
        <v>8859</v>
      </c>
    </row>
    <row r="3699" spans="1:3" ht="31.5" x14ac:dyDescent="0.25">
      <c r="A3699" s="62" t="s">
        <v>7812</v>
      </c>
      <c r="B3699" s="63" t="s">
        <v>7813</v>
      </c>
      <c r="C3699" s="79" t="s">
        <v>8859</v>
      </c>
    </row>
    <row r="3700" spans="1:3" ht="31.5" x14ac:dyDescent="0.25">
      <c r="A3700" s="62" t="s">
        <v>7814</v>
      </c>
      <c r="B3700" s="63" t="s">
        <v>7815</v>
      </c>
      <c r="C3700" s="79" t="s">
        <v>8859</v>
      </c>
    </row>
    <row r="3701" spans="1:3" ht="31.5" x14ac:dyDescent="0.25">
      <c r="A3701" s="62" t="s">
        <v>7816</v>
      </c>
      <c r="B3701" s="63" t="s">
        <v>7817</v>
      </c>
      <c r="C3701" s="79" t="s">
        <v>8859</v>
      </c>
    </row>
    <row r="3702" spans="1:3" ht="31.5" x14ac:dyDescent="0.25">
      <c r="A3702" s="62" t="s">
        <v>7818</v>
      </c>
      <c r="B3702" s="63" t="s">
        <v>7819</v>
      </c>
      <c r="C3702" s="79" t="s">
        <v>8859</v>
      </c>
    </row>
    <row r="3703" spans="1:3" ht="31.5" x14ac:dyDescent="0.25">
      <c r="A3703" s="62" t="s">
        <v>7820</v>
      </c>
      <c r="B3703" s="63" t="s">
        <v>7821</v>
      </c>
      <c r="C3703" s="79" t="s">
        <v>8859</v>
      </c>
    </row>
    <row r="3704" spans="1:3" ht="31.5" x14ac:dyDescent="0.25">
      <c r="A3704" s="62" t="s">
        <v>7822</v>
      </c>
      <c r="B3704" s="63" t="s">
        <v>7823</v>
      </c>
      <c r="C3704" s="79" t="s">
        <v>8859</v>
      </c>
    </row>
    <row r="3705" spans="1:3" ht="47.25" x14ac:dyDescent="0.25">
      <c r="A3705" s="62" t="s">
        <v>7824</v>
      </c>
      <c r="B3705" s="63" t="s">
        <v>7825</v>
      </c>
      <c r="C3705" s="79" t="s">
        <v>8859</v>
      </c>
    </row>
    <row r="3706" spans="1:3" ht="31.5" x14ac:dyDescent="0.25">
      <c r="A3706" s="62" t="s">
        <v>7826</v>
      </c>
      <c r="B3706" s="63" t="s">
        <v>7827</v>
      </c>
      <c r="C3706" s="79" t="s">
        <v>8859</v>
      </c>
    </row>
    <row r="3707" spans="1:3" ht="31.5" x14ac:dyDescent="0.25">
      <c r="A3707" s="62" t="s">
        <v>7828</v>
      </c>
      <c r="B3707" s="63" t="s">
        <v>7829</v>
      </c>
      <c r="C3707" s="79" t="s">
        <v>8859</v>
      </c>
    </row>
    <row r="3708" spans="1:3" ht="31.5" x14ac:dyDescent="0.25">
      <c r="A3708" s="62" t="s">
        <v>7830</v>
      </c>
      <c r="B3708" s="63" t="s">
        <v>7831</v>
      </c>
      <c r="C3708" s="79" t="s">
        <v>8859</v>
      </c>
    </row>
    <row r="3709" spans="1:3" ht="31.5" x14ac:dyDescent="0.25">
      <c r="A3709" s="62" t="s">
        <v>7832</v>
      </c>
      <c r="B3709" s="63" t="s">
        <v>7833</v>
      </c>
      <c r="C3709" s="79" t="s">
        <v>8859</v>
      </c>
    </row>
    <row r="3710" spans="1:3" ht="31.5" x14ac:dyDescent="0.25">
      <c r="A3710" s="62" t="s">
        <v>7834</v>
      </c>
      <c r="B3710" s="63" t="s">
        <v>7835</v>
      </c>
      <c r="C3710" s="79" t="s">
        <v>8859</v>
      </c>
    </row>
    <row r="3711" spans="1:3" ht="31.5" x14ac:dyDescent="0.25">
      <c r="A3711" s="62" t="s">
        <v>7836</v>
      </c>
      <c r="B3711" s="63" t="s">
        <v>7837</v>
      </c>
      <c r="C3711" s="79" t="s">
        <v>8795</v>
      </c>
    </row>
    <row r="3712" spans="1:3" ht="31.5" x14ac:dyDescent="0.25">
      <c r="A3712" s="62" t="s">
        <v>7838</v>
      </c>
      <c r="B3712" s="63" t="s">
        <v>7839</v>
      </c>
      <c r="C3712" s="79" t="s">
        <v>8859</v>
      </c>
    </row>
    <row r="3713" spans="1:3" ht="31.5" x14ac:dyDescent="0.25">
      <c r="A3713" s="62" t="s">
        <v>7840</v>
      </c>
      <c r="B3713" s="63" t="s">
        <v>7841</v>
      </c>
      <c r="C3713" s="79" t="s">
        <v>8859</v>
      </c>
    </row>
    <row r="3714" spans="1:3" ht="31.5" x14ac:dyDescent="0.25">
      <c r="A3714" s="62" t="s">
        <v>7842</v>
      </c>
      <c r="B3714" s="63" t="s">
        <v>7843</v>
      </c>
      <c r="C3714" s="79" t="s">
        <v>8859</v>
      </c>
    </row>
    <row r="3715" spans="1:3" ht="31.5" x14ac:dyDescent="0.25">
      <c r="A3715" s="62" t="s">
        <v>7844</v>
      </c>
      <c r="B3715" s="63" t="s">
        <v>7845</v>
      </c>
      <c r="C3715" s="79" t="s">
        <v>8859</v>
      </c>
    </row>
    <row r="3716" spans="1:3" ht="31.5" x14ac:dyDescent="0.25">
      <c r="A3716" s="62" t="s">
        <v>7846</v>
      </c>
      <c r="B3716" s="63" t="s">
        <v>7847</v>
      </c>
      <c r="C3716" s="79" t="s">
        <v>8795</v>
      </c>
    </row>
    <row r="3717" spans="1:3" ht="31.5" x14ac:dyDescent="0.25">
      <c r="A3717" s="62" t="s">
        <v>7848</v>
      </c>
      <c r="B3717" s="63" t="s">
        <v>7849</v>
      </c>
      <c r="C3717" s="79" t="s">
        <v>8859</v>
      </c>
    </row>
    <row r="3718" spans="1:3" ht="31.5" x14ac:dyDescent="0.25">
      <c r="A3718" s="62" t="s">
        <v>7850</v>
      </c>
      <c r="B3718" s="63" t="s">
        <v>7851</v>
      </c>
      <c r="C3718" s="79" t="s">
        <v>8859</v>
      </c>
    </row>
    <row r="3719" spans="1:3" ht="31.5" x14ac:dyDescent="0.25">
      <c r="A3719" s="62" t="s">
        <v>7852</v>
      </c>
      <c r="B3719" s="63" t="s">
        <v>7853</v>
      </c>
      <c r="C3719" s="79" t="s">
        <v>8859</v>
      </c>
    </row>
    <row r="3720" spans="1:3" ht="31.5" x14ac:dyDescent="0.25">
      <c r="A3720" s="62" t="s">
        <v>7854</v>
      </c>
      <c r="B3720" s="63" t="s">
        <v>7855</v>
      </c>
      <c r="C3720" s="79" t="s">
        <v>8859</v>
      </c>
    </row>
    <row r="3721" spans="1:3" ht="31.5" x14ac:dyDescent="0.25">
      <c r="A3721" s="62" t="s">
        <v>7856</v>
      </c>
      <c r="B3721" s="63" t="s">
        <v>7857</v>
      </c>
      <c r="C3721" s="79" t="s">
        <v>8859</v>
      </c>
    </row>
    <row r="3722" spans="1:3" ht="31.5" x14ac:dyDescent="0.25">
      <c r="A3722" s="62" t="s">
        <v>7858</v>
      </c>
      <c r="B3722" s="63" t="s">
        <v>7859</v>
      </c>
      <c r="C3722" s="79" t="s">
        <v>8859</v>
      </c>
    </row>
    <row r="3723" spans="1:3" ht="31.5" x14ac:dyDescent="0.25">
      <c r="A3723" s="62" t="s">
        <v>7860</v>
      </c>
      <c r="B3723" s="63" t="s">
        <v>7861</v>
      </c>
      <c r="C3723" s="79" t="s">
        <v>8859</v>
      </c>
    </row>
    <row r="3724" spans="1:3" ht="31.5" x14ac:dyDescent="0.25">
      <c r="A3724" s="62" t="s">
        <v>7862</v>
      </c>
      <c r="B3724" s="63" t="s">
        <v>7863</v>
      </c>
      <c r="C3724" s="79" t="s">
        <v>8859</v>
      </c>
    </row>
    <row r="3725" spans="1:3" x14ac:dyDescent="0.25">
      <c r="A3725" s="62" t="s">
        <v>7864</v>
      </c>
      <c r="B3725" s="63" t="s">
        <v>7865</v>
      </c>
      <c r="C3725" s="79" t="s">
        <v>8859</v>
      </c>
    </row>
    <row r="3726" spans="1:3" ht="31.5" x14ac:dyDescent="0.25">
      <c r="A3726" s="62" t="s">
        <v>7866</v>
      </c>
      <c r="B3726" s="63" t="s">
        <v>7867</v>
      </c>
      <c r="C3726" s="79" t="s">
        <v>9019</v>
      </c>
    </row>
    <row r="3727" spans="1:3" ht="31.5" x14ac:dyDescent="0.25">
      <c r="A3727" s="62" t="s">
        <v>7868</v>
      </c>
      <c r="B3727" s="63" t="s">
        <v>7869</v>
      </c>
      <c r="C3727" s="79" t="s">
        <v>8859</v>
      </c>
    </row>
    <row r="3728" spans="1:3" ht="31.5" x14ac:dyDescent="0.25">
      <c r="A3728" s="62" t="s">
        <v>7870</v>
      </c>
      <c r="B3728" s="63" t="s">
        <v>7871</v>
      </c>
      <c r="C3728" s="79" t="s">
        <v>8859</v>
      </c>
    </row>
    <row r="3729" spans="1:3" ht="31.5" x14ac:dyDescent="0.25">
      <c r="A3729" s="62" t="s">
        <v>7872</v>
      </c>
      <c r="B3729" s="63" t="s">
        <v>7873</v>
      </c>
      <c r="C3729" s="79" t="s">
        <v>8859</v>
      </c>
    </row>
    <row r="3730" spans="1:3" ht="31.5" x14ac:dyDescent="0.25">
      <c r="A3730" s="62" t="s">
        <v>7874</v>
      </c>
      <c r="B3730" s="63" t="s">
        <v>7875</v>
      </c>
      <c r="C3730" s="79" t="s">
        <v>8859</v>
      </c>
    </row>
    <row r="3731" spans="1:3" ht="31.5" x14ac:dyDescent="0.25">
      <c r="A3731" s="62" t="s">
        <v>7876</v>
      </c>
      <c r="B3731" s="63" t="s">
        <v>7877</v>
      </c>
      <c r="C3731" s="79" t="s">
        <v>8859</v>
      </c>
    </row>
    <row r="3732" spans="1:3" ht="31.5" x14ac:dyDescent="0.25">
      <c r="A3732" s="62" t="s">
        <v>7878</v>
      </c>
      <c r="B3732" s="63" t="s">
        <v>7879</v>
      </c>
      <c r="C3732" s="79" t="s">
        <v>8859</v>
      </c>
    </row>
    <row r="3733" spans="1:3" ht="31.5" x14ac:dyDescent="0.25">
      <c r="A3733" s="62" t="s">
        <v>7880</v>
      </c>
      <c r="B3733" s="63" t="s">
        <v>7881</v>
      </c>
      <c r="C3733" s="79" t="s">
        <v>8742</v>
      </c>
    </row>
    <row r="3734" spans="1:3" ht="31.5" x14ac:dyDescent="0.25">
      <c r="A3734" s="62" t="s">
        <v>7882</v>
      </c>
      <c r="B3734" s="63" t="s">
        <v>7883</v>
      </c>
      <c r="C3734" s="79" t="s">
        <v>8694</v>
      </c>
    </row>
    <row r="3735" spans="1:3" ht="31.5" x14ac:dyDescent="0.25">
      <c r="A3735" s="62" t="s">
        <v>7884</v>
      </c>
      <c r="B3735" s="63" t="s">
        <v>7885</v>
      </c>
      <c r="C3735" s="79" t="s">
        <v>8694</v>
      </c>
    </row>
    <row r="3736" spans="1:3" ht="31.5" x14ac:dyDescent="0.25">
      <c r="A3736" s="62" t="s">
        <v>7886</v>
      </c>
      <c r="B3736" s="63" t="s">
        <v>7887</v>
      </c>
      <c r="C3736" s="79" t="s">
        <v>8726</v>
      </c>
    </row>
    <row r="3737" spans="1:3" ht="31.5" x14ac:dyDescent="0.25">
      <c r="A3737" s="62" t="s">
        <v>7888</v>
      </c>
      <c r="B3737" s="63" t="s">
        <v>7889</v>
      </c>
      <c r="C3737" s="79" t="s">
        <v>8726</v>
      </c>
    </row>
    <row r="3738" spans="1:3" ht="31.5" x14ac:dyDescent="0.25">
      <c r="A3738" s="62" t="s">
        <v>7890</v>
      </c>
      <c r="B3738" s="63" t="s">
        <v>7891</v>
      </c>
      <c r="C3738" s="79" t="s">
        <v>8672</v>
      </c>
    </row>
    <row r="3739" spans="1:3" x14ac:dyDescent="0.25">
      <c r="A3739" s="62" t="s">
        <v>7892</v>
      </c>
      <c r="B3739" s="63" t="s">
        <v>7893</v>
      </c>
      <c r="C3739" s="79" t="s">
        <v>8838</v>
      </c>
    </row>
    <row r="3740" spans="1:3" x14ac:dyDescent="0.25">
      <c r="A3740" s="62" t="s">
        <v>7894</v>
      </c>
      <c r="B3740" s="63" t="s">
        <v>7895</v>
      </c>
      <c r="C3740" s="79" t="s">
        <v>8838</v>
      </c>
    </row>
    <row r="3741" spans="1:3" x14ac:dyDescent="0.25">
      <c r="A3741" s="62" t="s">
        <v>7896</v>
      </c>
      <c r="B3741" s="63" t="s">
        <v>7897</v>
      </c>
      <c r="C3741" s="79" t="s">
        <v>8697</v>
      </c>
    </row>
    <row r="3742" spans="1:3" x14ac:dyDescent="0.25">
      <c r="A3742" s="62" t="s">
        <v>7898</v>
      </c>
      <c r="B3742" s="63" t="s">
        <v>7899</v>
      </c>
      <c r="C3742" s="79" t="s">
        <v>8697</v>
      </c>
    </row>
    <row r="3743" spans="1:3" x14ac:dyDescent="0.25">
      <c r="A3743" s="62" t="s">
        <v>7900</v>
      </c>
      <c r="B3743" s="63" t="s">
        <v>7901</v>
      </c>
      <c r="C3743" s="79" t="s">
        <v>8697</v>
      </c>
    </row>
    <row r="3744" spans="1:3" x14ac:dyDescent="0.25">
      <c r="A3744" s="62" t="s">
        <v>7902</v>
      </c>
      <c r="B3744" s="63" t="s">
        <v>7903</v>
      </c>
      <c r="C3744" s="79" t="s">
        <v>8697</v>
      </c>
    </row>
    <row r="3745" spans="1:3" x14ac:dyDescent="0.25">
      <c r="A3745" s="62" t="s">
        <v>7904</v>
      </c>
      <c r="B3745" s="63" t="s">
        <v>7905</v>
      </c>
      <c r="C3745" s="79" t="s">
        <v>8864</v>
      </c>
    </row>
    <row r="3746" spans="1:3" x14ac:dyDescent="0.25">
      <c r="A3746" s="62" t="s">
        <v>7906</v>
      </c>
      <c r="B3746" s="63" t="s">
        <v>7907</v>
      </c>
      <c r="C3746" s="79" t="s">
        <v>8864</v>
      </c>
    </row>
    <row r="3747" spans="1:3" x14ac:dyDescent="0.25">
      <c r="A3747" s="62" t="s">
        <v>7908</v>
      </c>
      <c r="B3747" s="63" t="s">
        <v>7909</v>
      </c>
      <c r="C3747" s="79" t="s">
        <v>8864</v>
      </c>
    </row>
    <row r="3748" spans="1:3" ht="18" x14ac:dyDescent="0.25">
      <c r="A3748" s="182"/>
      <c r="B3748" s="182" t="s">
        <v>9035</v>
      </c>
      <c r="C3748" s="183"/>
    </row>
    <row r="3749" spans="1:3" x14ac:dyDescent="0.25">
      <c r="A3749" s="62" t="s">
        <v>7910</v>
      </c>
      <c r="B3749" s="63" t="s">
        <v>7911</v>
      </c>
      <c r="C3749" s="79" t="s">
        <v>8696</v>
      </c>
    </row>
    <row r="3750" spans="1:3" ht="18" x14ac:dyDescent="0.25">
      <c r="A3750" s="182"/>
      <c r="B3750" s="182" t="s">
        <v>9036</v>
      </c>
      <c r="C3750" s="183"/>
    </row>
    <row r="3751" spans="1:3" ht="31.5" x14ac:dyDescent="0.25">
      <c r="A3751" s="62" t="s">
        <v>7912</v>
      </c>
      <c r="B3751" s="63" t="s">
        <v>7913</v>
      </c>
      <c r="C3751" s="79" t="s">
        <v>8734</v>
      </c>
    </row>
    <row r="3752" spans="1:3" ht="31.5" x14ac:dyDescent="0.25">
      <c r="A3752" s="62" t="s">
        <v>7914</v>
      </c>
      <c r="B3752" s="63" t="s">
        <v>7915</v>
      </c>
      <c r="C3752" s="79" t="s">
        <v>8453</v>
      </c>
    </row>
    <row r="3753" spans="1:3" ht="31.5" x14ac:dyDescent="0.25">
      <c r="A3753" s="62" t="s">
        <v>7916</v>
      </c>
      <c r="B3753" s="63" t="s">
        <v>7917</v>
      </c>
      <c r="C3753" s="79" t="s">
        <v>9022</v>
      </c>
    </row>
    <row r="3754" spans="1:3" ht="18" x14ac:dyDescent="0.25">
      <c r="A3754" s="182"/>
      <c r="B3754" s="182" t="s">
        <v>9037</v>
      </c>
      <c r="C3754" s="183"/>
    </row>
    <row r="3755" spans="1:3" x14ac:dyDescent="0.25">
      <c r="A3755" s="62" t="s">
        <v>7918</v>
      </c>
      <c r="B3755" s="63" t="s">
        <v>7919</v>
      </c>
      <c r="C3755" s="79" t="s">
        <v>9027</v>
      </c>
    </row>
    <row r="3756" spans="1:3" ht="31.5" x14ac:dyDescent="0.25">
      <c r="A3756" s="62" t="s">
        <v>7920</v>
      </c>
      <c r="B3756" s="63" t="s">
        <v>7921</v>
      </c>
      <c r="C3756" s="79" t="s">
        <v>8824</v>
      </c>
    </row>
    <row r="3757" spans="1:3" ht="31.5" x14ac:dyDescent="0.25">
      <c r="A3757" s="62" t="s">
        <v>7922</v>
      </c>
      <c r="B3757" s="63" t="s">
        <v>7923</v>
      </c>
      <c r="C3757" s="79" t="s">
        <v>8689</v>
      </c>
    </row>
    <row r="3758" spans="1:3" ht="31.5" x14ac:dyDescent="0.25">
      <c r="A3758" s="62" t="s">
        <v>7924</v>
      </c>
      <c r="B3758" s="63" t="s">
        <v>7925</v>
      </c>
      <c r="C3758" s="79" t="s">
        <v>8859</v>
      </c>
    </row>
    <row r="3759" spans="1:3" ht="31.5" x14ac:dyDescent="0.25">
      <c r="A3759" s="62" t="s">
        <v>7926</v>
      </c>
      <c r="B3759" s="63" t="s">
        <v>7927</v>
      </c>
      <c r="C3759" s="79" t="s">
        <v>8859</v>
      </c>
    </row>
    <row r="3760" spans="1:3" ht="31.5" x14ac:dyDescent="0.25">
      <c r="A3760" s="62" t="s">
        <v>7928</v>
      </c>
      <c r="B3760" s="63" t="s">
        <v>7929</v>
      </c>
      <c r="C3760" s="79" t="s">
        <v>8859</v>
      </c>
    </row>
    <row r="3761" spans="1:3" ht="31.5" x14ac:dyDescent="0.25">
      <c r="A3761" s="62" t="s">
        <v>7930</v>
      </c>
      <c r="B3761" s="63" t="s">
        <v>7931</v>
      </c>
      <c r="C3761" s="79" t="s">
        <v>8859</v>
      </c>
    </row>
    <row r="3762" spans="1:3" ht="31.5" x14ac:dyDescent="0.25">
      <c r="A3762" s="62" t="s">
        <v>7932</v>
      </c>
      <c r="B3762" s="63" t="s">
        <v>7933</v>
      </c>
      <c r="C3762" s="79" t="s">
        <v>8859</v>
      </c>
    </row>
    <row r="3763" spans="1:3" ht="31.5" x14ac:dyDescent="0.25">
      <c r="A3763" s="62" t="s">
        <v>7934</v>
      </c>
      <c r="B3763" s="63" t="s">
        <v>7935</v>
      </c>
      <c r="C3763" s="79" t="s">
        <v>8859</v>
      </c>
    </row>
    <row r="3764" spans="1:3" ht="31.5" x14ac:dyDescent="0.25">
      <c r="A3764" s="62" t="s">
        <v>7936</v>
      </c>
      <c r="B3764" s="63" t="s">
        <v>7937</v>
      </c>
      <c r="C3764" s="79" t="s">
        <v>8689</v>
      </c>
    </row>
    <row r="3765" spans="1:3" ht="31.5" x14ac:dyDescent="0.25">
      <c r="A3765" s="62" t="s">
        <v>7938</v>
      </c>
      <c r="B3765" s="63" t="s">
        <v>7939</v>
      </c>
      <c r="C3765" s="79" t="s">
        <v>8859</v>
      </c>
    </row>
    <row r="3766" spans="1:3" ht="31.5" x14ac:dyDescent="0.25">
      <c r="A3766" s="62" t="s">
        <v>7940</v>
      </c>
      <c r="B3766" s="63" t="s">
        <v>7941</v>
      </c>
      <c r="C3766" s="79" t="s">
        <v>8859</v>
      </c>
    </row>
    <row r="3767" spans="1:3" ht="31.5" x14ac:dyDescent="0.25">
      <c r="A3767" s="62" t="s">
        <v>7942</v>
      </c>
      <c r="B3767" s="63" t="s">
        <v>7943</v>
      </c>
      <c r="C3767" s="79" t="s">
        <v>8859</v>
      </c>
    </row>
    <row r="3768" spans="1:3" ht="31.5" x14ac:dyDescent="0.25">
      <c r="A3768" s="62" t="s">
        <v>7944</v>
      </c>
      <c r="B3768" s="63" t="s">
        <v>7945</v>
      </c>
      <c r="C3768" s="79" t="s">
        <v>8859</v>
      </c>
    </row>
    <row r="3769" spans="1:3" ht="31.5" x14ac:dyDescent="0.25">
      <c r="A3769" s="62" t="s">
        <v>7946</v>
      </c>
      <c r="B3769" s="63" t="s">
        <v>7947</v>
      </c>
      <c r="C3769" s="79" t="s">
        <v>8859</v>
      </c>
    </row>
    <row r="3770" spans="1:3" ht="18" x14ac:dyDescent="0.25">
      <c r="A3770" s="182"/>
      <c r="B3770" s="182" t="s">
        <v>7948</v>
      </c>
      <c r="C3770" s="183"/>
    </row>
    <row r="3771" spans="1:3" x14ac:dyDescent="0.25">
      <c r="A3771" s="62" t="s">
        <v>7949</v>
      </c>
      <c r="B3771" s="63" t="s">
        <v>7948</v>
      </c>
      <c r="C3771" s="79" t="s">
        <v>8546</v>
      </c>
    </row>
    <row r="3772" spans="1:3" ht="31.5" x14ac:dyDescent="0.25">
      <c r="A3772" s="62" t="s">
        <v>7950</v>
      </c>
      <c r="B3772" s="63" t="s">
        <v>7951</v>
      </c>
      <c r="C3772" s="79" t="s">
        <v>9038</v>
      </c>
    </row>
    <row r="3773" spans="1:3" ht="18" x14ac:dyDescent="0.25">
      <c r="A3773" s="182"/>
      <c r="B3773" s="182" t="s">
        <v>9039</v>
      </c>
      <c r="C3773" s="183"/>
    </row>
    <row r="3774" spans="1:3" x14ac:dyDescent="0.25">
      <c r="A3774" s="62" t="s">
        <v>7952</v>
      </c>
      <c r="B3774" s="63" t="s">
        <v>7953</v>
      </c>
      <c r="C3774" s="79" t="s">
        <v>8715</v>
      </c>
    </row>
    <row r="3775" spans="1:3" x14ac:dyDescent="0.25">
      <c r="A3775" s="62" t="s">
        <v>7954</v>
      </c>
      <c r="B3775" s="63" t="s">
        <v>7955</v>
      </c>
      <c r="C3775" s="79" t="s">
        <v>8715</v>
      </c>
    </row>
    <row r="3776" spans="1:3" ht="31.5" x14ac:dyDescent="0.25">
      <c r="A3776" s="62" t="s">
        <v>7956</v>
      </c>
      <c r="B3776" s="63" t="s">
        <v>7957</v>
      </c>
      <c r="C3776" s="79" t="s">
        <v>8715</v>
      </c>
    </row>
    <row r="3777" spans="1:3" ht="31.5" x14ac:dyDescent="0.25">
      <c r="A3777" s="62" t="s">
        <v>7958</v>
      </c>
      <c r="B3777" s="63" t="s">
        <v>7959</v>
      </c>
      <c r="C3777" s="79" t="s">
        <v>8715</v>
      </c>
    </row>
    <row r="3778" spans="1:3" ht="18" x14ac:dyDescent="0.25">
      <c r="A3778" s="182"/>
      <c r="B3778" s="182" t="s">
        <v>9040</v>
      </c>
      <c r="C3778" s="183"/>
    </row>
    <row r="3779" spans="1:3" ht="31.5" x14ac:dyDescent="0.25">
      <c r="A3779" s="62" t="s">
        <v>7960</v>
      </c>
      <c r="B3779" s="63" t="s">
        <v>7961</v>
      </c>
      <c r="C3779" s="79" t="s">
        <v>9041</v>
      </c>
    </row>
    <row r="3780" spans="1:3" ht="18" x14ac:dyDescent="0.25">
      <c r="A3780" s="182"/>
      <c r="B3780" s="182" t="s">
        <v>9042</v>
      </c>
      <c r="C3780" s="183"/>
    </row>
    <row r="3781" spans="1:3" ht="31.5" x14ac:dyDescent="0.25">
      <c r="A3781" s="62" t="s">
        <v>7962</v>
      </c>
      <c r="B3781" s="63" t="s">
        <v>7963</v>
      </c>
      <c r="C3781" s="79" t="s">
        <v>8694</v>
      </c>
    </row>
    <row r="3782" spans="1:3" x14ac:dyDescent="0.25">
      <c r="A3782" s="62" t="s">
        <v>7964</v>
      </c>
      <c r="B3782" s="63" t="s">
        <v>7965</v>
      </c>
      <c r="C3782" s="79" t="s">
        <v>8694</v>
      </c>
    </row>
    <row r="3783" spans="1:3" x14ac:dyDescent="0.25">
      <c r="A3783" s="62" t="s">
        <v>7966</v>
      </c>
      <c r="B3783" s="63" t="s">
        <v>7967</v>
      </c>
      <c r="C3783" s="79" t="s">
        <v>8924</v>
      </c>
    </row>
    <row r="3784" spans="1:3" x14ac:dyDescent="0.25">
      <c r="A3784" s="62" t="s">
        <v>7968</v>
      </c>
      <c r="B3784" s="63" t="s">
        <v>7969</v>
      </c>
      <c r="C3784" s="79" t="s">
        <v>8924</v>
      </c>
    </row>
    <row r="3785" spans="1:3" ht="18" x14ac:dyDescent="0.25">
      <c r="A3785" s="182"/>
      <c r="B3785" s="182" t="s">
        <v>9043</v>
      </c>
      <c r="C3785" s="183"/>
    </row>
    <row r="3786" spans="1:3" x14ac:dyDescent="0.25">
      <c r="A3786" s="62" t="s">
        <v>7970</v>
      </c>
      <c r="B3786" s="63" t="s">
        <v>7971</v>
      </c>
      <c r="C3786" s="79" t="s">
        <v>8715</v>
      </c>
    </row>
    <row r="3787" spans="1:3" ht="18" x14ac:dyDescent="0.25">
      <c r="A3787" s="182"/>
      <c r="B3787" s="182" t="s">
        <v>9044</v>
      </c>
      <c r="C3787" s="183"/>
    </row>
    <row r="3788" spans="1:3" x14ac:dyDescent="0.25">
      <c r="A3788" s="62" t="s">
        <v>7972</v>
      </c>
      <c r="B3788" s="63" t="s">
        <v>7973</v>
      </c>
      <c r="C3788" s="79" t="s">
        <v>8930</v>
      </c>
    </row>
    <row r="3789" spans="1:3" ht="31.5" x14ac:dyDescent="0.25">
      <c r="A3789" s="62" t="s">
        <v>7974</v>
      </c>
      <c r="B3789" s="63" t="s">
        <v>7975</v>
      </c>
      <c r="C3789" s="79" t="s">
        <v>8924</v>
      </c>
    </row>
    <row r="3790" spans="1:3" ht="31.5" x14ac:dyDescent="0.25">
      <c r="A3790" s="62" t="s">
        <v>7976</v>
      </c>
      <c r="B3790" s="63" t="s">
        <v>7977</v>
      </c>
      <c r="C3790" s="79" t="s">
        <v>8924</v>
      </c>
    </row>
    <row r="3791" spans="1:3" ht="31.5" x14ac:dyDescent="0.25">
      <c r="A3791" s="62" t="s">
        <v>7978</v>
      </c>
      <c r="B3791" s="63" t="s">
        <v>7979</v>
      </c>
      <c r="C3791" s="79" t="s">
        <v>9029</v>
      </c>
    </row>
    <row r="3792" spans="1:3" ht="31.5" x14ac:dyDescent="0.25">
      <c r="A3792" s="62" t="s">
        <v>7980</v>
      </c>
      <c r="B3792" s="63" t="s">
        <v>7981</v>
      </c>
      <c r="C3792" s="79" t="s">
        <v>8924</v>
      </c>
    </row>
    <row r="3793" spans="1:3" x14ac:dyDescent="0.25">
      <c r="A3793" s="62" t="s">
        <v>7982</v>
      </c>
      <c r="B3793" s="63" t="s">
        <v>7983</v>
      </c>
      <c r="C3793" s="79" t="s">
        <v>9029</v>
      </c>
    </row>
    <row r="3794" spans="1:3" x14ac:dyDescent="0.25">
      <c r="A3794" s="62" t="s">
        <v>7984</v>
      </c>
      <c r="B3794" s="63" t="s">
        <v>7985</v>
      </c>
      <c r="C3794" s="79" t="s">
        <v>8924</v>
      </c>
    </row>
    <row r="3795" spans="1:3" x14ac:dyDescent="0.25">
      <c r="A3795" s="62" t="s">
        <v>7986</v>
      </c>
      <c r="B3795" s="63" t="s">
        <v>7987</v>
      </c>
      <c r="C3795" s="79" t="s">
        <v>8924</v>
      </c>
    </row>
    <row r="3796" spans="1:3" x14ac:dyDescent="0.25">
      <c r="A3796" s="62" t="s">
        <v>7988</v>
      </c>
      <c r="B3796" s="63" t="s">
        <v>7989</v>
      </c>
      <c r="C3796" s="79" t="s">
        <v>8931</v>
      </c>
    </row>
    <row r="3797" spans="1:3" x14ac:dyDescent="0.25">
      <c r="A3797" s="62" t="s">
        <v>7990</v>
      </c>
      <c r="B3797" s="63" t="s">
        <v>7991</v>
      </c>
      <c r="C3797" s="79" t="s">
        <v>8930</v>
      </c>
    </row>
    <row r="3798" spans="1:3" x14ac:dyDescent="0.25">
      <c r="A3798" s="62" t="s">
        <v>7992</v>
      </c>
      <c r="B3798" s="63" t="s">
        <v>7993</v>
      </c>
      <c r="C3798" s="79" t="s">
        <v>8931</v>
      </c>
    </row>
    <row r="3799" spans="1:3" x14ac:dyDescent="0.25">
      <c r="A3799" s="62" t="s">
        <v>7994</v>
      </c>
      <c r="B3799" s="63" t="s">
        <v>7995</v>
      </c>
      <c r="C3799" s="79" t="s">
        <v>8924</v>
      </c>
    </row>
    <row r="3800" spans="1:3" x14ac:dyDescent="0.25">
      <c r="A3800" s="62" t="s">
        <v>7996</v>
      </c>
      <c r="B3800" s="63" t="s">
        <v>7997</v>
      </c>
      <c r="C3800" s="79" t="s">
        <v>8924</v>
      </c>
    </row>
    <row r="3801" spans="1:3" x14ac:dyDescent="0.25">
      <c r="A3801" s="62" t="s">
        <v>7998</v>
      </c>
      <c r="B3801" s="63" t="s">
        <v>7999</v>
      </c>
      <c r="C3801" s="79" t="s">
        <v>8795</v>
      </c>
    </row>
    <row r="3802" spans="1:3" x14ac:dyDescent="0.25">
      <c r="A3802" s="62" t="s">
        <v>8000</v>
      </c>
      <c r="B3802" s="63" t="s">
        <v>8001</v>
      </c>
      <c r="C3802" s="79" t="s">
        <v>8894</v>
      </c>
    </row>
    <row r="3803" spans="1:3" ht="31.5" x14ac:dyDescent="0.25">
      <c r="A3803" s="62" t="s">
        <v>8002</v>
      </c>
      <c r="B3803" s="63" t="s">
        <v>7975</v>
      </c>
      <c r="C3803" s="79" t="s">
        <v>8924</v>
      </c>
    </row>
    <row r="3804" spans="1:3" ht="31.5" x14ac:dyDescent="0.25">
      <c r="A3804" s="62" t="s">
        <v>8003</v>
      </c>
      <c r="B3804" s="63" t="s">
        <v>8004</v>
      </c>
      <c r="C3804" s="79" t="s">
        <v>8924</v>
      </c>
    </row>
    <row r="3805" spans="1:3" x14ac:dyDescent="0.25">
      <c r="A3805" s="62" t="s">
        <v>8005</v>
      </c>
      <c r="B3805" s="63" t="s">
        <v>8006</v>
      </c>
      <c r="C3805" s="79" t="s">
        <v>8925</v>
      </c>
    </row>
    <row r="3806" spans="1:3" x14ac:dyDescent="0.25">
      <c r="A3806" s="62" t="s">
        <v>8007</v>
      </c>
      <c r="B3806" s="63" t="s">
        <v>7991</v>
      </c>
      <c r="C3806" s="79" t="s">
        <v>8930</v>
      </c>
    </row>
    <row r="3807" spans="1:3" x14ac:dyDescent="0.25">
      <c r="A3807" s="62" t="s">
        <v>8008</v>
      </c>
      <c r="B3807" s="63" t="s">
        <v>8009</v>
      </c>
      <c r="C3807" s="79" t="s">
        <v>8931</v>
      </c>
    </row>
    <row r="3808" spans="1:3" ht="31.5" x14ac:dyDescent="0.25">
      <c r="A3808" s="62" t="s">
        <v>8010</v>
      </c>
      <c r="B3808" s="63" t="s">
        <v>8011</v>
      </c>
      <c r="C3808" s="79" t="s">
        <v>9029</v>
      </c>
    </row>
    <row r="3809" spans="1:3" ht="31.5" x14ac:dyDescent="0.25">
      <c r="A3809" s="62" t="s">
        <v>8012</v>
      </c>
      <c r="B3809" s="63" t="s">
        <v>7981</v>
      </c>
      <c r="C3809" s="79" t="s">
        <v>8924</v>
      </c>
    </row>
    <row r="3810" spans="1:3" x14ac:dyDescent="0.25">
      <c r="A3810" s="62" t="s">
        <v>8013</v>
      </c>
      <c r="B3810" s="63" t="s">
        <v>8014</v>
      </c>
      <c r="C3810" s="79" t="s">
        <v>8894</v>
      </c>
    </row>
    <row r="3811" spans="1:3" ht="18" x14ac:dyDescent="0.25">
      <c r="A3811" s="182"/>
      <c r="B3811" s="182" t="s">
        <v>9045</v>
      </c>
      <c r="C3811" s="183"/>
    </row>
    <row r="3812" spans="1:3" x14ac:dyDescent="0.25">
      <c r="A3812" s="62" t="s">
        <v>8015</v>
      </c>
      <c r="B3812" s="63" t="s">
        <v>8016</v>
      </c>
      <c r="C3812" s="79" t="s">
        <v>9031</v>
      </c>
    </row>
    <row r="3813" spans="1:3" x14ac:dyDescent="0.25">
      <c r="A3813" s="62" t="s">
        <v>8017</v>
      </c>
      <c r="B3813" s="63" t="s">
        <v>8016</v>
      </c>
      <c r="C3813" s="79" t="s">
        <v>9031</v>
      </c>
    </row>
    <row r="3814" spans="1:3" x14ac:dyDescent="0.25">
      <c r="A3814" s="62" t="s">
        <v>8018</v>
      </c>
      <c r="B3814" s="63" t="s">
        <v>8016</v>
      </c>
      <c r="C3814" s="79" t="s">
        <v>9031</v>
      </c>
    </row>
    <row r="3815" spans="1:3" x14ac:dyDescent="0.25">
      <c r="A3815" s="62" t="s">
        <v>8019</v>
      </c>
      <c r="B3815" s="63" t="s">
        <v>8016</v>
      </c>
      <c r="C3815" s="79" t="s">
        <v>9031</v>
      </c>
    </row>
    <row r="3816" spans="1:3" x14ac:dyDescent="0.25">
      <c r="A3816" s="62" t="s">
        <v>8020</v>
      </c>
      <c r="B3816" s="63" t="s">
        <v>8016</v>
      </c>
      <c r="C3816" s="79" t="s">
        <v>9031</v>
      </c>
    </row>
    <row r="3817" spans="1:3" x14ac:dyDescent="0.25">
      <c r="A3817" s="62" t="s">
        <v>8021</v>
      </c>
      <c r="B3817" s="63" t="s">
        <v>8016</v>
      </c>
      <c r="C3817" s="79" t="s">
        <v>9031</v>
      </c>
    </row>
    <row r="3818" spans="1:3" x14ac:dyDescent="0.25">
      <c r="A3818" s="62" t="s">
        <v>8022</v>
      </c>
      <c r="B3818" s="63" t="s">
        <v>8016</v>
      </c>
      <c r="C3818" s="79" t="s">
        <v>9031</v>
      </c>
    </row>
    <row r="3819" spans="1:3" x14ac:dyDescent="0.25">
      <c r="A3819" s="62" t="s">
        <v>8023</v>
      </c>
      <c r="B3819" s="63" t="s">
        <v>8016</v>
      </c>
      <c r="C3819" s="79" t="s">
        <v>9031</v>
      </c>
    </row>
    <row r="3820" spans="1:3" ht="18" x14ac:dyDescent="0.25">
      <c r="A3820" s="182"/>
      <c r="B3820" s="182" t="s">
        <v>9046</v>
      </c>
      <c r="C3820" s="183"/>
    </row>
    <row r="3821" spans="1:3" ht="31.5" x14ac:dyDescent="0.25">
      <c r="A3821" s="62" t="s">
        <v>8024</v>
      </c>
      <c r="B3821" s="63" t="s">
        <v>8025</v>
      </c>
      <c r="C3821" s="79" t="s">
        <v>9031</v>
      </c>
    </row>
    <row r="3822" spans="1:3" ht="31.5" x14ac:dyDescent="0.25">
      <c r="A3822" s="62" t="s">
        <v>8026</v>
      </c>
      <c r="B3822" s="63" t="s">
        <v>8025</v>
      </c>
      <c r="C3822" s="79" t="s">
        <v>9031</v>
      </c>
    </row>
    <row r="3823" spans="1:3" ht="31.5" x14ac:dyDescent="0.25">
      <c r="A3823" s="62" t="s">
        <v>8027</v>
      </c>
      <c r="B3823" s="63" t="s">
        <v>8025</v>
      </c>
      <c r="C3823" s="79" t="s">
        <v>9031</v>
      </c>
    </row>
    <row r="3824" spans="1:3" ht="31.5" x14ac:dyDescent="0.25">
      <c r="A3824" s="62" t="s">
        <v>8028</v>
      </c>
      <c r="B3824" s="63" t="s">
        <v>8025</v>
      </c>
      <c r="C3824" s="79" t="s">
        <v>9031</v>
      </c>
    </row>
    <row r="3825" spans="1:3" ht="31.5" x14ac:dyDescent="0.25">
      <c r="A3825" s="62" t="s">
        <v>8029</v>
      </c>
      <c r="B3825" s="63" t="s">
        <v>8025</v>
      </c>
      <c r="C3825" s="79" t="s">
        <v>9031</v>
      </c>
    </row>
    <row r="3826" spans="1:3" ht="31.5" x14ac:dyDescent="0.25">
      <c r="A3826" s="62" t="s">
        <v>8030</v>
      </c>
      <c r="B3826" s="63" t="s">
        <v>8025</v>
      </c>
      <c r="C3826" s="79" t="s">
        <v>9031</v>
      </c>
    </row>
    <row r="3827" spans="1:3" ht="31.5" x14ac:dyDescent="0.25">
      <c r="A3827" s="62" t="s">
        <v>8031</v>
      </c>
      <c r="B3827" s="63" t="s">
        <v>8025</v>
      </c>
      <c r="C3827" s="79" t="s">
        <v>9031</v>
      </c>
    </row>
    <row r="3828" spans="1:3" ht="31.5" x14ac:dyDescent="0.25">
      <c r="A3828" s="62" t="s">
        <v>8032</v>
      </c>
      <c r="B3828" s="63" t="s">
        <v>8025</v>
      </c>
      <c r="C3828" s="79" t="s">
        <v>9031</v>
      </c>
    </row>
    <row r="3829" spans="1:3" ht="31.5" x14ac:dyDescent="0.25">
      <c r="A3829" s="62" t="s">
        <v>8033</v>
      </c>
      <c r="B3829" s="63" t="s">
        <v>8025</v>
      </c>
      <c r="C3829" s="79" t="s">
        <v>9031</v>
      </c>
    </row>
    <row r="3830" spans="1:3" ht="31.5" x14ac:dyDescent="0.25">
      <c r="A3830" s="62" t="s">
        <v>8034</v>
      </c>
      <c r="B3830" s="63" t="s">
        <v>8025</v>
      </c>
      <c r="C3830" s="79" t="s">
        <v>9031</v>
      </c>
    </row>
    <row r="3831" spans="1:3" ht="31.5" x14ac:dyDescent="0.25">
      <c r="A3831" s="62" t="s">
        <v>8035</v>
      </c>
      <c r="B3831" s="63" t="s">
        <v>8025</v>
      </c>
      <c r="C3831" s="79" t="s">
        <v>9031</v>
      </c>
    </row>
    <row r="3832" spans="1:3" ht="18" x14ac:dyDescent="0.25">
      <c r="A3832" s="182"/>
      <c r="B3832" s="182" t="s">
        <v>9047</v>
      </c>
      <c r="C3832" s="183"/>
    </row>
    <row r="3833" spans="1:3" ht="31.5" x14ac:dyDescent="0.25">
      <c r="A3833" s="62" t="s">
        <v>8036</v>
      </c>
      <c r="B3833" s="63" t="s">
        <v>8037</v>
      </c>
      <c r="C3833" s="79" t="s">
        <v>9031</v>
      </c>
    </row>
    <row r="3834" spans="1:3" ht="31.5" x14ac:dyDescent="0.25">
      <c r="A3834" s="62" t="s">
        <v>8038</v>
      </c>
      <c r="B3834" s="63" t="s">
        <v>8037</v>
      </c>
      <c r="C3834" s="79" t="s">
        <v>9031</v>
      </c>
    </row>
    <row r="3835" spans="1:3" ht="31.5" x14ac:dyDescent="0.25">
      <c r="A3835" s="62" t="s">
        <v>8039</v>
      </c>
      <c r="B3835" s="63" t="s">
        <v>8037</v>
      </c>
      <c r="C3835" s="79" t="s">
        <v>9031</v>
      </c>
    </row>
    <row r="3836" spans="1:3" ht="31.5" x14ac:dyDescent="0.25">
      <c r="A3836" s="62" t="s">
        <v>8040</v>
      </c>
      <c r="B3836" s="63" t="s">
        <v>8037</v>
      </c>
      <c r="C3836" s="79" t="s">
        <v>9031</v>
      </c>
    </row>
    <row r="3837" spans="1:3" ht="31.5" x14ac:dyDescent="0.25">
      <c r="A3837" s="62" t="s">
        <v>8041</v>
      </c>
      <c r="B3837" s="63" t="s">
        <v>8037</v>
      </c>
      <c r="C3837" s="79" t="s">
        <v>9031</v>
      </c>
    </row>
    <row r="3838" spans="1:3" ht="31.5" x14ac:dyDescent="0.25">
      <c r="A3838" s="62" t="s">
        <v>8042</v>
      </c>
      <c r="B3838" s="63" t="s">
        <v>8037</v>
      </c>
      <c r="C3838" s="79" t="s">
        <v>9031</v>
      </c>
    </row>
    <row r="3839" spans="1:3" ht="31.5" x14ac:dyDescent="0.25">
      <c r="A3839" s="62" t="s">
        <v>8043</v>
      </c>
      <c r="B3839" s="63" t="s">
        <v>8037</v>
      </c>
      <c r="C3839" s="79" t="s">
        <v>9048</v>
      </c>
    </row>
    <row r="3840" spans="1:3" ht="18" x14ac:dyDescent="0.25">
      <c r="A3840" s="182"/>
      <c r="B3840" s="182" t="s">
        <v>9049</v>
      </c>
      <c r="C3840" s="183"/>
    </row>
    <row r="3841" spans="1:3" x14ac:dyDescent="0.25">
      <c r="A3841" s="62" t="s">
        <v>8044</v>
      </c>
      <c r="B3841" s="63" t="s">
        <v>8016</v>
      </c>
      <c r="C3841" s="79" t="s">
        <v>9031</v>
      </c>
    </row>
    <row r="3842" spans="1:3" x14ac:dyDescent="0.25">
      <c r="A3842" s="62" t="s">
        <v>8045</v>
      </c>
      <c r="B3842" s="63" t="s">
        <v>8016</v>
      </c>
      <c r="C3842" s="79" t="s">
        <v>8444</v>
      </c>
    </row>
    <row r="3843" spans="1:3" x14ac:dyDescent="0.25">
      <c r="A3843" s="62" t="s">
        <v>8046</v>
      </c>
      <c r="B3843" s="63" t="s">
        <v>8016</v>
      </c>
      <c r="C3843" s="79" t="s">
        <v>9031</v>
      </c>
    </row>
    <row r="3844" spans="1:3" x14ac:dyDescent="0.25">
      <c r="A3844" s="62" t="s">
        <v>8047</v>
      </c>
      <c r="B3844" s="63" t="s">
        <v>8016</v>
      </c>
      <c r="C3844" s="79" t="s">
        <v>9031</v>
      </c>
    </row>
    <row r="3845" spans="1:3" x14ac:dyDescent="0.25">
      <c r="A3845" s="62" t="s">
        <v>8048</v>
      </c>
      <c r="B3845" s="63" t="s">
        <v>8016</v>
      </c>
      <c r="C3845" s="79" t="s">
        <v>9031</v>
      </c>
    </row>
    <row r="3846" spans="1:3" x14ac:dyDescent="0.25">
      <c r="A3846" s="62" t="s">
        <v>8049</v>
      </c>
      <c r="B3846" s="63" t="s">
        <v>8016</v>
      </c>
      <c r="C3846" s="79" t="s">
        <v>9031</v>
      </c>
    </row>
    <row r="3847" spans="1:3" x14ac:dyDescent="0.25">
      <c r="A3847" s="62" t="s">
        <v>8050</v>
      </c>
      <c r="B3847" s="63" t="s">
        <v>8016</v>
      </c>
      <c r="C3847" s="79" t="s">
        <v>9031</v>
      </c>
    </row>
    <row r="3848" spans="1:3" x14ac:dyDescent="0.25">
      <c r="A3848" s="62" t="s">
        <v>8051</v>
      </c>
      <c r="B3848" s="63" t="s">
        <v>8016</v>
      </c>
      <c r="C3848" s="79" t="s">
        <v>9029</v>
      </c>
    </row>
    <row r="3849" spans="1:3" ht="18" x14ac:dyDescent="0.25">
      <c r="A3849" s="182"/>
      <c r="B3849" s="182" t="s">
        <v>9050</v>
      </c>
      <c r="C3849" s="183"/>
    </row>
    <row r="3850" spans="1:3" x14ac:dyDescent="0.25">
      <c r="A3850" s="62" t="s">
        <v>8052</v>
      </c>
      <c r="B3850" s="63" t="s">
        <v>8053</v>
      </c>
      <c r="C3850" s="79" t="s">
        <v>8686</v>
      </c>
    </row>
    <row r="3851" spans="1:3" ht="18" x14ac:dyDescent="0.25">
      <c r="A3851" s="182"/>
      <c r="B3851" s="182" t="s">
        <v>9051</v>
      </c>
      <c r="C3851" s="183"/>
    </row>
    <row r="3852" spans="1:3" x14ac:dyDescent="0.25">
      <c r="A3852" s="62" t="s">
        <v>8054</v>
      </c>
      <c r="B3852" s="63" t="s">
        <v>8055</v>
      </c>
      <c r="C3852" s="79" t="s">
        <v>8819</v>
      </c>
    </row>
    <row r="3853" spans="1:3" ht="18" x14ac:dyDescent="0.25">
      <c r="A3853" s="182"/>
      <c r="B3853" s="182" t="s">
        <v>8056</v>
      </c>
      <c r="C3853" s="183"/>
    </row>
    <row r="3854" spans="1:3" x14ac:dyDescent="0.25">
      <c r="A3854" s="62" t="s">
        <v>8057</v>
      </c>
      <c r="B3854" s="63" t="s">
        <v>8056</v>
      </c>
      <c r="C3854" s="79" t="s">
        <v>8847</v>
      </c>
    </row>
    <row r="3855" spans="1:3" ht="18" x14ac:dyDescent="0.25">
      <c r="A3855" s="182"/>
      <c r="B3855" s="182" t="s">
        <v>9052</v>
      </c>
      <c r="C3855" s="183"/>
    </row>
    <row r="3856" spans="1:3" x14ac:dyDescent="0.25">
      <c r="A3856" s="62" t="s">
        <v>8058</v>
      </c>
      <c r="B3856" s="63" t="s">
        <v>8059</v>
      </c>
      <c r="C3856" s="79" t="s">
        <v>8741</v>
      </c>
    </row>
    <row r="3857" spans="1:3" ht="31.5" x14ac:dyDescent="0.25">
      <c r="A3857" s="62" t="s">
        <v>8060</v>
      </c>
      <c r="B3857" s="63" t="s">
        <v>8061</v>
      </c>
      <c r="C3857" s="79" t="s">
        <v>8864</v>
      </c>
    </row>
    <row r="3858" spans="1:3" ht="31.5" x14ac:dyDescent="0.25">
      <c r="A3858" s="62" t="s">
        <v>8062</v>
      </c>
      <c r="B3858" s="63" t="s">
        <v>8063</v>
      </c>
      <c r="C3858" s="79" t="s">
        <v>8848</v>
      </c>
    </row>
    <row r="3859" spans="1:3" ht="31.5" x14ac:dyDescent="0.25">
      <c r="A3859" s="62" t="s">
        <v>8064</v>
      </c>
      <c r="B3859" s="63" t="s">
        <v>8065</v>
      </c>
      <c r="C3859" s="79" t="s">
        <v>8812</v>
      </c>
    </row>
    <row r="3860" spans="1:3" x14ac:dyDescent="0.25">
      <c r="A3860" s="62" t="s">
        <v>8066</v>
      </c>
      <c r="B3860" s="63" t="s">
        <v>8067</v>
      </c>
      <c r="C3860" s="79" t="s">
        <v>8888</v>
      </c>
    </row>
    <row r="3861" spans="1:3" x14ac:dyDescent="0.25">
      <c r="A3861" s="62" t="s">
        <v>8068</v>
      </c>
      <c r="B3861" s="63" t="s">
        <v>8069</v>
      </c>
      <c r="C3861" s="79" t="s">
        <v>8812</v>
      </c>
    </row>
    <row r="3862" spans="1:3" ht="47.25" x14ac:dyDescent="0.25">
      <c r="A3862" s="62" t="s">
        <v>8070</v>
      </c>
      <c r="B3862" s="63" t="s">
        <v>8071</v>
      </c>
      <c r="C3862" s="79" t="s">
        <v>8848</v>
      </c>
    </row>
    <row r="3863" spans="1:3" ht="18" x14ac:dyDescent="0.25">
      <c r="A3863" s="182"/>
      <c r="B3863" s="182" t="s">
        <v>9053</v>
      </c>
      <c r="C3863" s="183"/>
    </row>
    <row r="3864" spans="1:3" x14ac:dyDescent="0.25">
      <c r="A3864" s="62" t="s">
        <v>8072</v>
      </c>
      <c r="B3864" s="63" t="s">
        <v>8073</v>
      </c>
      <c r="C3864" s="79" t="s">
        <v>9054</v>
      </c>
    </row>
    <row r="3865" spans="1:3" ht="18" x14ac:dyDescent="0.25">
      <c r="A3865" s="182"/>
      <c r="B3865" s="182" t="s">
        <v>9055</v>
      </c>
      <c r="C3865" s="183"/>
    </row>
    <row r="3866" spans="1:3" x14ac:dyDescent="0.25">
      <c r="A3866" s="62" t="s">
        <v>8074</v>
      </c>
      <c r="B3866" s="63" t="s">
        <v>8075</v>
      </c>
      <c r="C3866" s="79" t="s">
        <v>9056</v>
      </c>
    </row>
    <row r="3867" spans="1:3" ht="18" x14ac:dyDescent="0.25">
      <c r="A3867" s="182"/>
      <c r="B3867" s="182" t="s">
        <v>9057</v>
      </c>
      <c r="C3867" s="183"/>
    </row>
    <row r="3868" spans="1:3" x14ac:dyDescent="0.25">
      <c r="A3868" s="62" t="s">
        <v>8076</v>
      </c>
      <c r="B3868" s="63" t="s">
        <v>8077</v>
      </c>
      <c r="C3868" s="79" t="s">
        <v>8805</v>
      </c>
    </row>
    <row r="3869" spans="1:3" ht="18" x14ac:dyDescent="0.25">
      <c r="A3869" s="182"/>
      <c r="B3869" s="182" t="s">
        <v>9058</v>
      </c>
      <c r="C3869" s="183"/>
    </row>
    <row r="3870" spans="1:3" x14ac:dyDescent="0.25">
      <c r="A3870" s="62" t="s">
        <v>8078</v>
      </c>
      <c r="B3870" s="63" t="s">
        <v>8079</v>
      </c>
      <c r="C3870" s="79" t="s">
        <v>8740</v>
      </c>
    </row>
    <row r="3871" spans="1:3" x14ac:dyDescent="0.25">
      <c r="A3871" s="62" t="s">
        <v>8080</v>
      </c>
      <c r="B3871" s="63" t="s">
        <v>8081</v>
      </c>
      <c r="C3871" s="79" t="s">
        <v>8740</v>
      </c>
    </row>
    <row r="3872" spans="1:3" x14ac:dyDescent="0.25">
      <c r="A3872" s="62" t="s">
        <v>8082</v>
      </c>
      <c r="B3872" s="63" t="s">
        <v>8083</v>
      </c>
      <c r="C3872" s="79" t="s">
        <v>8740</v>
      </c>
    </row>
    <row r="3873" spans="1:3" x14ac:dyDescent="0.25">
      <c r="A3873" s="62" t="s">
        <v>8084</v>
      </c>
      <c r="B3873" s="63" t="s">
        <v>8085</v>
      </c>
      <c r="C3873" s="79" t="s">
        <v>8740</v>
      </c>
    </row>
    <row r="3874" spans="1:3" x14ac:dyDescent="0.25">
      <c r="A3874" s="62" t="s">
        <v>8086</v>
      </c>
      <c r="B3874" s="63" t="s">
        <v>8087</v>
      </c>
      <c r="C3874" s="79" t="s">
        <v>8740</v>
      </c>
    </row>
    <row r="3875" spans="1:3" x14ac:dyDescent="0.25">
      <c r="A3875" s="62" t="s">
        <v>8088</v>
      </c>
      <c r="B3875" s="63" t="s">
        <v>8089</v>
      </c>
      <c r="C3875" s="79" t="s">
        <v>8740</v>
      </c>
    </row>
    <row r="3876" spans="1:3" ht="18" x14ac:dyDescent="0.25">
      <c r="A3876" s="182"/>
      <c r="B3876" s="182" t="s">
        <v>9059</v>
      </c>
      <c r="C3876" s="183"/>
    </row>
    <row r="3877" spans="1:3" x14ac:dyDescent="0.25">
      <c r="A3877" s="62" t="s">
        <v>8090</v>
      </c>
      <c r="B3877" s="63" t="s">
        <v>8091</v>
      </c>
      <c r="C3877" s="79" t="s">
        <v>8740</v>
      </c>
    </row>
    <row r="3878" spans="1:3" x14ac:dyDescent="0.25">
      <c r="A3878" s="62" t="s">
        <v>8092</v>
      </c>
      <c r="B3878" s="63" t="s">
        <v>8093</v>
      </c>
      <c r="C3878" s="79" t="s">
        <v>8740</v>
      </c>
    </row>
    <row r="3879" spans="1:3" x14ac:dyDescent="0.25">
      <c r="A3879" s="62" t="s">
        <v>8094</v>
      </c>
      <c r="B3879" s="63" t="s">
        <v>8095</v>
      </c>
      <c r="C3879" s="79" t="s">
        <v>8740</v>
      </c>
    </row>
    <row r="3880" spans="1:3" x14ac:dyDescent="0.25">
      <c r="A3880" s="62" t="s">
        <v>8096</v>
      </c>
      <c r="B3880" s="63" t="s">
        <v>8097</v>
      </c>
      <c r="C3880" s="79" t="s">
        <v>8740</v>
      </c>
    </row>
    <row r="3881" spans="1:3" x14ac:dyDescent="0.25">
      <c r="A3881" s="62" t="s">
        <v>8098</v>
      </c>
      <c r="B3881" s="63" t="s">
        <v>8099</v>
      </c>
      <c r="C3881" s="79" t="s">
        <v>8740</v>
      </c>
    </row>
    <row r="3882" spans="1:3" x14ac:dyDescent="0.25">
      <c r="A3882" s="62" t="s">
        <v>8100</v>
      </c>
      <c r="B3882" s="63" t="s">
        <v>8101</v>
      </c>
      <c r="C3882" s="79" t="s">
        <v>8740</v>
      </c>
    </row>
    <row r="3883" spans="1:3" ht="18" x14ac:dyDescent="0.25">
      <c r="A3883" s="182"/>
      <c r="B3883" s="182" t="s">
        <v>9060</v>
      </c>
      <c r="C3883" s="183"/>
    </row>
    <row r="3884" spans="1:3" x14ac:dyDescent="0.25">
      <c r="A3884" s="62" t="s">
        <v>8102</v>
      </c>
      <c r="B3884" s="63" t="s">
        <v>8103</v>
      </c>
      <c r="C3884" s="79" t="s">
        <v>8740</v>
      </c>
    </row>
    <row r="3885" spans="1:3" x14ac:dyDescent="0.25">
      <c r="A3885" s="62" t="s">
        <v>8104</v>
      </c>
      <c r="B3885" s="63" t="s">
        <v>8105</v>
      </c>
      <c r="C3885" s="79" t="s">
        <v>8740</v>
      </c>
    </row>
    <row r="3886" spans="1:3" x14ac:dyDescent="0.25">
      <c r="A3886" s="62" t="s">
        <v>8106</v>
      </c>
      <c r="B3886" s="63" t="s">
        <v>8107</v>
      </c>
      <c r="C3886" s="79" t="s">
        <v>8740</v>
      </c>
    </row>
    <row r="3887" spans="1:3" x14ac:dyDescent="0.25">
      <c r="A3887" s="62" t="s">
        <v>8108</v>
      </c>
      <c r="B3887" s="63" t="s">
        <v>8109</v>
      </c>
      <c r="C3887" s="79" t="s">
        <v>8740</v>
      </c>
    </row>
    <row r="3888" spans="1:3" x14ac:dyDescent="0.25">
      <c r="A3888" s="62" t="s">
        <v>8110</v>
      </c>
      <c r="B3888" s="63" t="s">
        <v>8111</v>
      </c>
      <c r="C3888" s="79" t="s">
        <v>8740</v>
      </c>
    </row>
    <row r="3889" spans="1:3" x14ac:dyDescent="0.25">
      <c r="A3889" s="62" t="s">
        <v>8112</v>
      </c>
      <c r="B3889" s="63" t="s">
        <v>8113</v>
      </c>
      <c r="C3889" s="79" t="s">
        <v>8740</v>
      </c>
    </row>
    <row r="3890" spans="1:3" ht="18" x14ac:dyDescent="0.25">
      <c r="A3890" s="182"/>
      <c r="B3890" s="182" t="s">
        <v>9061</v>
      </c>
      <c r="C3890" s="183"/>
    </row>
    <row r="3891" spans="1:3" ht="31.5" x14ac:dyDescent="0.25">
      <c r="A3891" s="62" t="s">
        <v>8114</v>
      </c>
      <c r="B3891" s="63" t="s">
        <v>8115</v>
      </c>
      <c r="C3891" s="79" t="s">
        <v>8767</v>
      </c>
    </row>
    <row r="3892" spans="1:3" ht="18" x14ac:dyDescent="0.25">
      <c r="A3892" s="182"/>
      <c r="B3892" s="182" t="s">
        <v>9062</v>
      </c>
      <c r="C3892" s="183"/>
    </row>
    <row r="3893" spans="1:3" x14ac:dyDescent="0.25">
      <c r="A3893" s="62" t="s">
        <v>8116</v>
      </c>
      <c r="B3893" s="63" t="s">
        <v>8117</v>
      </c>
      <c r="C3893" s="79" t="s">
        <v>8741</v>
      </c>
    </row>
    <row r="3894" spans="1:3" ht="18" x14ac:dyDescent="0.25">
      <c r="A3894" s="182"/>
      <c r="B3894" s="182" t="s">
        <v>9063</v>
      </c>
      <c r="C3894" s="183"/>
    </row>
    <row r="3895" spans="1:3" x14ac:dyDescent="0.25">
      <c r="A3895" s="62" t="s">
        <v>8118</v>
      </c>
      <c r="B3895" s="63" t="s">
        <v>8119</v>
      </c>
      <c r="C3895" s="79" t="s">
        <v>8767</v>
      </c>
    </row>
    <row r="3896" spans="1:3" x14ac:dyDescent="0.25">
      <c r="A3896" s="62" t="s">
        <v>8120</v>
      </c>
      <c r="B3896" s="63" t="s">
        <v>8121</v>
      </c>
      <c r="C3896" s="79" t="s">
        <v>8820</v>
      </c>
    </row>
    <row r="3897" spans="1:3" x14ac:dyDescent="0.25">
      <c r="A3897" s="62" t="s">
        <v>8122</v>
      </c>
      <c r="B3897" s="63" t="s">
        <v>8123</v>
      </c>
      <c r="C3897" s="79" t="s">
        <v>8767</v>
      </c>
    </row>
    <row r="3898" spans="1:3" x14ac:dyDescent="0.25">
      <c r="A3898" s="62" t="s">
        <v>8124</v>
      </c>
      <c r="B3898" s="63" t="s">
        <v>8125</v>
      </c>
      <c r="C3898" s="79" t="s">
        <v>8820</v>
      </c>
    </row>
    <row r="3899" spans="1:3" x14ac:dyDescent="0.25">
      <c r="A3899" s="62" t="s">
        <v>8126</v>
      </c>
      <c r="B3899" s="63" t="s">
        <v>8127</v>
      </c>
      <c r="C3899" s="79" t="s">
        <v>8672</v>
      </c>
    </row>
    <row r="3900" spans="1:3" x14ac:dyDescent="0.25">
      <c r="A3900" s="62" t="s">
        <v>8128</v>
      </c>
      <c r="B3900" s="63" t="s">
        <v>8129</v>
      </c>
      <c r="C3900" s="79" t="s">
        <v>8774</v>
      </c>
    </row>
    <row r="3901" spans="1:3" ht="18" x14ac:dyDescent="0.25">
      <c r="A3901" s="182"/>
      <c r="B3901" s="182" t="s">
        <v>9064</v>
      </c>
      <c r="C3901" s="183"/>
    </row>
    <row r="3902" spans="1:3" x14ac:dyDescent="0.25">
      <c r="A3902" s="62" t="s">
        <v>8130</v>
      </c>
      <c r="B3902" s="63" t="s">
        <v>8131</v>
      </c>
      <c r="C3902" s="79" t="s">
        <v>8699</v>
      </c>
    </row>
    <row r="3903" spans="1:3" ht="18" x14ac:dyDescent="0.25">
      <c r="A3903" s="182"/>
      <c r="B3903" s="182" t="s">
        <v>9065</v>
      </c>
      <c r="C3903" s="183"/>
    </row>
    <row r="3904" spans="1:3" ht="47.25" x14ac:dyDescent="0.25">
      <c r="A3904" s="62" t="s">
        <v>8132</v>
      </c>
      <c r="B3904" s="63" t="s">
        <v>8133</v>
      </c>
      <c r="C3904" s="79" t="s">
        <v>8820</v>
      </c>
    </row>
    <row r="3905" spans="1:3" ht="18" x14ac:dyDescent="0.25">
      <c r="A3905" s="182"/>
      <c r="B3905" s="182" t="s">
        <v>9066</v>
      </c>
      <c r="C3905" s="183"/>
    </row>
    <row r="3906" spans="1:3" x14ac:dyDescent="0.25">
      <c r="A3906" s="62" t="s">
        <v>8134</v>
      </c>
      <c r="B3906" s="63" t="s">
        <v>8135</v>
      </c>
      <c r="C3906" s="79" t="s">
        <v>8722</v>
      </c>
    </row>
    <row r="3907" spans="1:3" x14ac:dyDescent="0.25">
      <c r="A3907" s="62" t="s">
        <v>8136</v>
      </c>
      <c r="B3907" s="63" t="s">
        <v>8137</v>
      </c>
      <c r="C3907" s="79" t="s">
        <v>8722</v>
      </c>
    </row>
    <row r="3908" spans="1:3" x14ac:dyDescent="0.25">
      <c r="A3908" s="62" t="s">
        <v>8138</v>
      </c>
      <c r="B3908" s="63" t="s">
        <v>8139</v>
      </c>
      <c r="C3908" s="79" t="s">
        <v>8722</v>
      </c>
    </row>
    <row r="3909" spans="1:3" ht="18" x14ac:dyDescent="0.25">
      <c r="A3909" s="182"/>
      <c r="B3909" s="182" t="s">
        <v>9067</v>
      </c>
      <c r="C3909" s="183"/>
    </row>
    <row r="3910" spans="1:3" x14ac:dyDescent="0.25">
      <c r="A3910" s="62" t="s">
        <v>8140</v>
      </c>
      <c r="B3910" s="63" t="s">
        <v>8141</v>
      </c>
      <c r="C3910" s="79" t="s">
        <v>8824</v>
      </c>
    </row>
    <row r="3911" spans="1:3" x14ac:dyDescent="0.25">
      <c r="A3911" s="64"/>
      <c r="B3911" s="64" t="s">
        <v>8369</v>
      </c>
      <c r="C3911" s="80"/>
    </row>
    <row r="3912" spans="1:3" ht="18" x14ac:dyDescent="0.25">
      <c r="A3912" s="182"/>
      <c r="B3912" s="182" t="s">
        <v>9068</v>
      </c>
      <c r="C3912" s="183"/>
    </row>
    <row r="3913" spans="1:3" x14ac:dyDescent="0.25">
      <c r="A3913" s="62" t="s">
        <v>8142</v>
      </c>
      <c r="B3913" s="63" t="s">
        <v>8143</v>
      </c>
      <c r="C3913" s="79" t="s">
        <v>9069</v>
      </c>
    </row>
    <row r="3914" spans="1:3" ht="18" x14ac:dyDescent="0.25">
      <c r="A3914" s="182"/>
      <c r="B3914" s="182" t="s">
        <v>9070</v>
      </c>
      <c r="C3914" s="183"/>
    </row>
    <row r="3915" spans="1:3" x14ac:dyDescent="0.25">
      <c r="A3915" s="62" t="s">
        <v>8144</v>
      </c>
      <c r="B3915" s="63" t="s">
        <v>8145</v>
      </c>
      <c r="C3915" s="79" t="s">
        <v>9069</v>
      </c>
    </row>
    <row r="3916" spans="1:3" ht="18" x14ac:dyDescent="0.25">
      <c r="A3916" s="182"/>
      <c r="B3916" s="182" t="s">
        <v>9071</v>
      </c>
      <c r="C3916" s="183"/>
    </row>
    <row r="3917" spans="1:3" x14ac:dyDescent="0.25">
      <c r="A3917" s="62" t="s">
        <v>8146</v>
      </c>
      <c r="B3917" s="63" t="s">
        <v>8147</v>
      </c>
      <c r="C3917" s="79" t="s">
        <v>9072</v>
      </c>
    </row>
    <row r="3918" spans="1:3" ht="18" x14ac:dyDescent="0.25">
      <c r="A3918" s="182"/>
      <c r="B3918" s="182" t="s">
        <v>9073</v>
      </c>
      <c r="C3918" s="183"/>
    </row>
    <row r="3919" spans="1:3" x14ac:dyDescent="0.25">
      <c r="A3919" s="62" t="s">
        <v>8148</v>
      </c>
      <c r="B3919" s="63" t="s">
        <v>8149</v>
      </c>
      <c r="C3919" s="79" t="s">
        <v>9072</v>
      </c>
    </row>
    <row r="3920" spans="1:3" ht="18" x14ac:dyDescent="0.25">
      <c r="A3920" s="182"/>
      <c r="B3920" s="182" t="s">
        <v>9074</v>
      </c>
      <c r="C3920" s="183"/>
    </row>
    <row r="3921" spans="1:3" x14ac:dyDescent="0.25">
      <c r="A3921" s="62" t="s">
        <v>8150</v>
      </c>
      <c r="B3921" s="63" t="s">
        <v>8151</v>
      </c>
      <c r="C3921" s="79" t="s">
        <v>9072</v>
      </c>
    </row>
    <row r="3922" spans="1:3" ht="18" x14ac:dyDescent="0.25">
      <c r="A3922" s="182"/>
      <c r="B3922" s="182" t="s">
        <v>9075</v>
      </c>
      <c r="C3922" s="183"/>
    </row>
    <row r="3923" spans="1:3" x14ac:dyDescent="0.25">
      <c r="A3923" s="62" t="s">
        <v>8152</v>
      </c>
      <c r="B3923" s="63" t="s">
        <v>8153</v>
      </c>
      <c r="C3923" s="79" t="s">
        <v>9076</v>
      </c>
    </row>
    <row r="3924" spans="1:3" ht="18" x14ac:dyDescent="0.25">
      <c r="A3924" s="182"/>
      <c r="B3924" s="182" t="s">
        <v>9077</v>
      </c>
      <c r="C3924" s="183"/>
    </row>
    <row r="3925" spans="1:3" x14ac:dyDescent="0.25">
      <c r="A3925" s="62" t="s">
        <v>8154</v>
      </c>
      <c r="B3925" s="63" t="s">
        <v>8155</v>
      </c>
      <c r="C3925" s="79" t="s">
        <v>9076</v>
      </c>
    </row>
    <row r="3926" spans="1:3" ht="18" x14ac:dyDescent="0.25">
      <c r="A3926" s="182"/>
      <c r="B3926" s="182" t="s">
        <v>9078</v>
      </c>
      <c r="C3926" s="183"/>
    </row>
    <row r="3927" spans="1:3" ht="31.5" x14ac:dyDescent="0.25">
      <c r="A3927" s="62" t="s">
        <v>8156</v>
      </c>
      <c r="B3927" s="63" t="s">
        <v>8157</v>
      </c>
      <c r="C3927" s="79" t="s">
        <v>9079</v>
      </c>
    </row>
    <row r="3928" spans="1:3" ht="18" x14ac:dyDescent="0.25">
      <c r="A3928" s="182"/>
      <c r="B3928" s="182" t="s">
        <v>9080</v>
      </c>
      <c r="C3928" s="183"/>
    </row>
    <row r="3929" spans="1:3" ht="78.75" x14ac:dyDescent="0.25">
      <c r="A3929" s="62" t="s">
        <v>8158</v>
      </c>
      <c r="B3929" s="63" t="s">
        <v>8159</v>
      </c>
      <c r="C3929" s="79" t="s">
        <v>9081</v>
      </c>
    </row>
    <row r="3930" spans="1:3" ht="47.25" x14ac:dyDescent="0.25">
      <c r="A3930" s="62" t="s">
        <v>8160</v>
      </c>
      <c r="B3930" s="63" t="s">
        <v>8161</v>
      </c>
      <c r="C3930" s="79" t="s">
        <v>9081</v>
      </c>
    </row>
    <row r="3931" spans="1:3" ht="18" x14ac:dyDescent="0.25">
      <c r="A3931" s="182"/>
      <c r="B3931" s="182" t="s">
        <v>9082</v>
      </c>
      <c r="C3931" s="183"/>
    </row>
    <row r="3932" spans="1:3" x14ac:dyDescent="0.25">
      <c r="A3932" s="62" t="s">
        <v>8162</v>
      </c>
      <c r="B3932" s="63" t="s">
        <v>8163</v>
      </c>
      <c r="C3932" s="79" t="s">
        <v>8824</v>
      </c>
    </row>
    <row r="3933" spans="1:3" ht="18" x14ac:dyDescent="0.25">
      <c r="A3933" s="182"/>
      <c r="B3933" s="182" t="s">
        <v>9083</v>
      </c>
      <c r="C3933" s="183"/>
    </row>
    <row r="3934" spans="1:3" ht="31.5" x14ac:dyDescent="0.25">
      <c r="A3934" s="62" t="s">
        <v>8164</v>
      </c>
      <c r="B3934" s="63" t="s">
        <v>8165</v>
      </c>
      <c r="C3934" s="79" t="s">
        <v>8472</v>
      </c>
    </row>
    <row r="3935" spans="1:3" x14ac:dyDescent="0.25">
      <c r="A3935" s="62" t="s">
        <v>8166</v>
      </c>
      <c r="B3935" s="63" t="s">
        <v>8167</v>
      </c>
      <c r="C3935" s="79" t="s">
        <v>8566</v>
      </c>
    </row>
    <row r="3936" spans="1:3" x14ac:dyDescent="0.25">
      <c r="A3936" s="62" t="s">
        <v>8168</v>
      </c>
      <c r="B3936" s="63" t="s">
        <v>8169</v>
      </c>
      <c r="C3936" s="79" t="s">
        <v>8472</v>
      </c>
    </row>
    <row r="3937" spans="1:3" ht="18" x14ac:dyDescent="0.25">
      <c r="A3937" s="182"/>
      <c r="B3937" s="182" t="s">
        <v>9084</v>
      </c>
      <c r="C3937" s="183"/>
    </row>
    <row r="3938" spans="1:3" ht="31.5" x14ac:dyDescent="0.25">
      <c r="A3938" s="62" t="s">
        <v>8170</v>
      </c>
      <c r="B3938" s="63" t="s">
        <v>8171</v>
      </c>
      <c r="C3938" s="79" t="s">
        <v>8928</v>
      </c>
    </row>
    <row r="3939" spans="1:3" x14ac:dyDescent="0.25">
      <c r="A3939" s="62" t="s">
        <v>8172</v>
      </c>
      <c r="B3939" s="63" t="s">
        <v>8173</v>
      </c>
      <c r="C3939" s="79" t="s">
        <v>8928</v>
      </c>
    </row>
    <row r="3940" spans="1:3" x14ac:dyDescent="0.25">
      <c r="A3940" s="62" t="s">
        <v>8174</v>
      </c>
      <c r="B3940" s="63" t="s">
        <v>8175</v>
      </c>
      <c r="C3940" s="79" t="s">
        <v>8928</v>
      </c>
    </row>
    <row r="3941" spans="1:3" x14ac:dyDescent="0.25">
      <c r="A3941" s="62" t="s">
        <v>8176</v>
      </c>
      <c r="B3941" s="63" t="s">
        <v>8177</v>
      </c>
      <c r="C3941" s="79" t="s">
        <v>9085</v>
      </c>
    </row>
    <row r="3942" spans="1:3" ht="31.5" x14ac:dyDescent="0.25">
      <c r="A3942" s="62" t="s">
        <v>8178</v>
      </c>
      <c r="B3942" s="63" t="s">
        <v>8179</v>
      </c>
      <c r="C3942" s="79" t="s">
        <v>9085</v>
      </c>
    </row>
    <row r="3943" spans="1:3" x14ac:dyDescent="0.25">
      <c r="A3943" s="62" t="s">
        <v>8180</v>
      </c>
      <c r="B3943" s="63" t="s">
        <v>8181</v>
      </c>
      <c r="C3943" s="79" t="s">
        <v>9085</v>
      </c>
    </row>
    <row r="3944" spans="1:3" x14ac:dyDescent="0.25">
      <c r="A3944" s="62" t="s">
        <v>8182</v>
      </c>
      <c r="B3944" s="63" t="s">
        <v>8183</v>
      </c>
      <c r="C3944" s="79" t="s">
        <v>9085</v>
      </c>
    </row>
    <row r="3945" spans="1:3" ht="47.25" x14ac:dyDescent="0.25">
      <c r="A3945" s="62" t="s">
        <v>8184</v>
      </c>
      <c r="B3945" s="63" t="s">
        <v>8185</v>
      </c>
      <c r="C3945" s="79" t="s">
        <v>9085</v>
      </c>
    </row>
    <row r="3946" spans="1:3" x14ac:dyDescent="0.25">
      <c r="A3946" s="62" t="s">
        <v>8186</v>
      </c>
      <c r="B3946" s="63" t="s">
        <v>8187</v>
      </c>
      <c r="C3946" s="79" t="s">
        <v>8928</v>
      </c>
    </row>
    <row r="3947" spans="1:3" x14ac:dyDescent="0.25">
      <c r="A3947" s="62" t="s">
        <v>8188</v>
      </c>
      <c r="B3947" s="63" t="s">
        <v>8189</v>
      </c>
      <c r="C3947" s="79" t="s">
        <v>8928</v>
      </c>
    </row>
    <row r="3948" spans="1:3" ht="31.5" x14ac:dyDescent="0.25">
      <c r="A3948" s="62" t="s">
        <v>8190</v>
      </c>
      <c r="B3948" s="63" t="s">
        <v>8191</v>
      </c>
      <c r="C3948" s="79" t="s">
        <v>8928</v>
      </c>
    </row>
    <row r="3949" spans="1:3" x14ac:dyDescent="0.25">
      <c r="A3949" s="62" t="s">
        <v>8192</v>
      </c>
      <c r="B3949" s="63" t="s">
        <v>8193</v>
      </c>
      <c r="C3949" s="79" t="s">
        <v>8928</v>
      </c>
    </row>
    <row r="3950" spans="1:3" x14ac:dyDescent="0.25">
      <c r="A3950" s="62" t="s">
        <v>8194</v>
      </c>
      <c r="B3950" s="63" t="s">
        <v>8195</v>
      </c>
      <c r="C3950" s="79" t="s">
        <v>8431</v>
      </c>
    </row>
    <row r="3951" spans="1:3" ht="18" x14ac:dyDescent="0.25">
      <c r="A3951" s="182"/>
      <c r="B3951" s="182" t="s">
        <v>9086</v>
      </c>
      <c r="C3951" s="183"/>
    </row>
    <row r="3952" spans="1:3" ht="31.5" x14ac:dyDescent="0.25">
      <c r="A3952" s="62" t="s">
        <v>8196</v>
      </c>
      <c r="B3952" s="63" t="s">
        <v>8197</v>
      </c>
      <c r="C3952" s="79" t="s">
        <v>8795</v>
      </c>
    </row>
    <row r="3953" spans="1:3" ht="18" x14ac:dyDescent="0.25">
      <c r="A3953" s="182"/>
      <c r="B3953" s="182" t="s">
        <v>9087</v>
      </c>
      <c r="C3953" s="183"/>
    </row>
    <row r="3954" spans="1:3" x14ac:dyDescent="0.25">
      <c r="A3954" s="62" t="s">
        <v>8198</v>
      </c>
      <c r="B3954" s="63" t="s">
        <v>8199</v>
      </c>
      <c r="C3954" s="79" t="s">
        <v>9022</v>
      </c>
    </row>
    <row r="3955" spans="1:3" ht="18" x14ac:dyDescent="0.25">
      <c r="A3955" s="182"/>
      <c r="B3955" s="182" t="s">
        <v>9088</v>
      </c>
      <c r="C3955" s="183"/>
    </row>
    <row r="3956" spans="1:3" x14ac:dyDescent="0.25">
      <c r="A3956" s="62" t="s">
        <v>8200</v>
      </c>
      <c r="B3956" s="63" t="s">
        <v>8201</v>
      </c>
      <c r="C3956" s="79" t="s">
        <v>9089</v>
      </c>
    </row>
    <row r="3957" spans="1:3" ht="18" x14ac:dyDescent="0.25">
      <c r="A3957" s="182"/>
      <c r="B3957" s="182" t="s">
        <v>9090</v>
      </c>
      <c r="C3957" s="183"/>
    </row>
    <row r="3958" spans="1:3" ht="31.5" x14ac:dyDescent="0.25">
      <c r="A3958" s="62" t="s">
        <v>8202</v>
      </c>
      <c r="B3958" s="63" t="s">
        <v>8203</v>
      </c>
      <c r="C3958" s="79" t="s">
        <v>8608</v>
      </c>
    </row>
    <row r="3959" spans="1:3" ht="18" x14ac:dyDescent="0.25">
      <c r="A3959" s="182"/>
      <c r="B3959" s="182" t="s">
        <v>9091</v>
      </c>
      <c r="C3959" s="183"/>
    </row>
    <row r="3960" spans="1:3" x14ac:dyDescent="0.25">
      <c r="A3960" s="62" t="s">
        <v>8204</v>
      </c>
      <c r="B3960" s="63" t="s">
        <v>8205</v>
      </c>
      <c r="C3960" s="79" t="s">
        <v>9092</v>
      </c>
    </row>
    <row r="3961" spans="1:3" ht="18" x14ac:dyDescent="0.25">
      <c r="A3961" s="182"/>
      <c r="B3961" s="182" t="s">
        <v>9093</v>
      </c>
      <c r="C3961" s="183"/>
    </row>
    <row r="3962" spans="1:3" x14ac:dyDescent="0.25">
      <c r="A3962" s="62" t="s">
        <v>8206</v>
      </c>
      <c r="B3962" s="63" t="s">
        <v>8207</v>
      </c>
      <c r="C3962" s="79" t="s">
        <v>9094</v>
      </c>
    </row>
    <row r="3963" spans="1:3" ht="18" x14ac:dyDescent="0.25">
      <c r="A3963" s="182"/>
      <c r="B3963" s="182" t="s">
        <v>9095</v>
      </c>
      <c r="C3963" s="183"/>
    </row>
    <row r="3964" spans="1:3" ht="31.5" x14ac:dyDescent="0.25">
      <c r="A3964" s="62" t="s">
        <v>8208</v>
      </c>
      <c r="B3964" s="63" t="s">
        <v>8209</v>
      </c>
      <c r="C3964" s="79" t="s">
        <v>9092</v>
      </c>
    </row>
    <row r="3965" spans="1:3" x14ac:dyDescent="0.25">
      <c r="A3965" s="62" t="s">
        <v>8210</v>
      </c>
      <c r="B3965" s="63" t="s">
        <v>8211</v>
      </c>
      <c r="C3965" s="79" t="s">
        <v>9094</v>
      </c>
    </row>
    <row r="3966" spans="1:3" ht="18" x14ac:dyDescent="0.25">
      <c r="A3966" s="182"/>
      <c r="B3966" s="182" t="s">
        <v>9096</v>
      </c>
      <c r="C3966" s="183"/>
    </row>
    <row r="3967" spans="1:3" ht="31.5" x14ac:dyDescent="0.25">
      <c r="A3967" s="62" t="s">
        <v>8212</v>
      </c>
      <c r="B3967" s="63" t="s">
        <v>8213</v>
      </c>
      <c r="C3967" s="79" t="s">
        <v>9097</v>
      </c>
    </row>
    <row r="3968" spans="1:3" ht="18" x14ac:dyDescent="0.25">
      <c r="A3968" s="182"/>
      <c r="B3968" s="182" t="s">
        <v>9098</v>
      </c>
      <c r="C3968" s="183"/>
    </row>
    <row r="3969" spans="1:3" ht="31.5" x14ac:dyDescent="0.25">
      <c r="A3969" s="62" t="s">
        <v>8214</v>
      </c>
      <c r="B3969" s="63" t="s">
        <v>8215</v>
      </c>
      <c r="C3969" s="79" t="s">
        <v>9099</v>
      </c>
    </row>
    <row r="3970" spans="1:3" x14ac:dyDescent="0.25">
      <c r="A3970" s="64"/>
      <c r="B3970" s="64" t="s">
        <v>8614</v>
      </c>
      <c r="C3970" s="80"/>
    </row>
    <row r="3971" spans="1:3" ht="18" x14ac:dyDescent="0.25">
      <c r="A3971" s="182"/>
      <c r="B3971" s="182" t="s">
        <v>8615</v>
      </c>
      <c r="C3971" s="183"/>
    </row>
    <row r="3972" spans="1:3" x14ac:dyDescent="0.25">
      <c r="A3972" s="62" t="s">
        <v>8216</v>
      </c>
      <c r="B3972" s="63" t="s">
        <v>8217</v>
      </c>
      <c r="C3972" s="79" t="s">
        <v>9100</v>
      </c>
    </row>
    <row r="3973" spans="1:3" ht="18" x14ac:dyDescent="0.25">
      <c r="A3973" s="182"/>
      <c r="B3973" s="182" t="s">
        <v>8678</v>
      </c>
      <c r="C3973" s="183"/>
    </row>
    <row r="3974" spans="1:3" x14ac:dyDescent="0.25">
      <c r="A3974" s="62" t="s">
        <v>8218</v>
      </c>
      <c r="B3974" s="63" t="s">
        <v>8219</v>
      </c>
      <c r="C3974" s="79" t="s">
        <v>9101</v>
      </c>
    </row>
    <row r="3975" spans="1:3" x14ac:dyDescent="0.25">
      <c r="A3975" s="62" t="s">
        <v>8220</v>
      </c>
      <c r="B3975" s="63" t="s">
        <v>8221</v>
      </c>
      <c r="C3975" s="79" t="s">
        <v>9102</v>
      </c>
    </row>
    <row r="3976" spans="1:3" ht="18" x14ac:dyDescent="0.25">
      <c r="A3976" s="182"/>
      <c r="B3976" s="182" t="s">
        <v>8695</v>
      </c>
      <c r="C3976" s="183"/>
    </row>
    <row r="3977" spans="1:3" x14ac:dyDescent="0.25">
      <c r="A3977" s="62" t="s">
        <v>8222</v>
      </c>
      <c r="B3977" s="63" t="s">
        <v>8223</v>
      </c>
      <c r="C3977" s="79" t="s">
        <v>8823</v>
      </c>
    </row>
    <row r="3978" spans="1:3" ht="18" x14ac:dyDescent="0.25">
      <c r="A3978" s="182"/>
      <c r="B3978" s="182" t="s">
        <v>8751</v>
      </c>
      <c r="C3978" s="183"/>
    </row>
    <row r="3979" spans="1:3" x14ac:dyDescent="0.25">
      <c r="A3979" s="62" t="s">
        <v>8224</v>
      </c>
      <c r="B3979" s="63" t="s">
        <v>8225</v>
      </c>
      <c r="C3979" s="79" t="s">
        <v>8999</v>
      </c>
    </row>
    <row r="3980" spans="1:3" x14ac:dyDescent="0.25">
      <c r="A3980" s="62" t="s">
        <v>8226</v>
      </c>
      <c r="B3980" s="63" t="s">
        <v>8227</v>
      </c>
      <c r="C3980" s="79" t="s">
        <v>8918</v>
      </c>
    </row>
    <row r="3981" spans="1:3" ht="18" x14ac:dyDescent="0.25">
      <c r="A3981" s="182"/>
      <c r="B3981" s="182" t="s">
        <v>8753</v>
      </c>
      <c r="C3981" s="183"/>
    </row>
    <row r="3982" spans="1:3" x14ac:dyDescent="0.25">
      <c r="A3982" s="62" t="s">
        <v>4008</v>
      </c>
      <c r="B3982" s="63" t="s">
        <v>4009</v>
      </c>
      <c r="C3982" s="79" t="s">
        <v>8756</v>
      </c>
    </row>
    <row r="3983" spans="1:3" ht="18" x14ac:dyDescent="0.25">
      <c r="A3983" s="182"/>
      <c r="B3983" s="182" t="s">
        <v>9103</v>
      </c>
      <c r="C3983" s="183"/>
    </row>
    <row r="3984" spans="1:3" x14ac:dyDescent="0.25">
      <c r="A3984" s="62" t="s">
        <v>8228</v>
      </c>
      <c r="B3984" s="63" t="s">
        <v>8229</v>
      </c>
      <c r="C3984" s="79" t="s">
        <v>8651</v>
      </c>
    </row>
    <row r="3985" spans="1:3" ht="18" x14ac:dyDescent="0.25">
      <c r="A3985" s="182"/>
      <c r="B3985" s="182" t="s">
        <v>8831</v>
      </c>
      <c r="C3985" s="183"/>
    </row>
    <row r="3986" spans="1:3" x14ac:dyDescent="0.25">
      <c r="A3986" s="62" t="s">
        <v>224</v>
      </c>
      <c r="B3986" s="63" t="s">
        <v>8230</v>
      </c>
      <c r="C3986" s="79" t="s">
        <v>9104</v>
      </c>
    </row>
    <row r="3987" spans="1:3" x14ac:dyDescent="0.25">
      <c r="A3987" s="62" t="s">
        <v>8231</v>
      </c>
      <c r="B3987" s="63" t="s">
        <v>8232</v>
      </c>
      <c r="C3987" s="79" t="s">
        <v>8582</v>
      </c>
    </row>
    <row r="3988" spans="1:3" x14ac:dyDescent="0.25">
      <c r="A3988" s="62" t="s">
        <v>226</v>
      </c>
      <c r="B3988" s="63" t="s">
        <v>8233</v>
      </c>
      <c r="C3988" s="79" t="s">
        <v>8849</v>
      </c>
    </row>
    <row r="3989" spans="1:3" x14ac:dyDescent="0.25">
      <c r="A3989" s="62" t="s">
        <v>8234</v>
      </c>
      <c r="B3989" s="63" t="s">
        <v>8235</v>
      </c>
      <c r="C3989" s="79" t="s">
        <v>9105</v>
      </c>
    </row>
    <row r="3990" spans="1:3" x14ac:dyDescent="0.25">
      <c r="A3990" s="62" t="s">
        <v>4332</v>
      </c>
      <c r="B3990" s="63" t="s">
        <v>4333</v>
      </c>
      <c r="C3990" s="79" t="s">
        <v>8527</v>
      </c>
    </row>
    <row r="3991" spans="1:3" ht="47.25" x14ac:dyDescent="0.25">
      <c r="A3991" s="62" t="s">
        <v>8236</v>
      </c>
      <c r="B3991" s="63" t="s">
        <v>8237</v>
      </c>
      <c r="C3991" s="79" t="s">
        <v>8926</v>
      </c>
    </row>
    <row r="3992" spans="1:3" x14ac:dyDescent="0.25">
      <c r="A3992" s="62" t="s">
        <v>8238</v>
      </c>
      <c r="B3992" s="63" t="s">
        <v>8239</v>
      </c>
      <c r="C3992" s="79" t="s">
        <v>8926</v>
      </c>
    </row>
    <row r="3993" spans="1:3" x14ac:dyDescent="0.25">
      <c r="A3993" s="62" t="s">
        <v>8240</v>
      </c>
      <c r="B3993" s="63" t="s">
        <v>8241</v>
      </c>
      <c r="C3993" s="79" t="s">
        <v>9106</v>
      </c>
    </row>
    <row r="3994" spans="1:3" x14ac:dyDescent="0.25">
      <c r="A3994" s="62" t="s">
        <v>8242</v>
      </c>
      <c r="B3994" s="63" t="s">
        <v>8243</v>
      </c>
      <c r="C3994" s="79" t="s">
        <v>8926</v>
      </c>
    </row>
    <row r="3995" spans="1:3" x14ac:dyDescent="0.25">
      <c r="A3995" s="62" t="s">
        <v>8244</v>
      </c>
      <c r="B3995" s="63" t="s">
        <v>8245</v>
      </c>
      <c r="C3995" s="79" t="s">
        <v>9107</v>
      </c>
    </row>
    <row r="3996" spans="1:3" ht="18" x14ac:dyDescent="0.25">
      <c r="A3996" s="182"/>
      <c r="B3996" s="182" t="s">
        <v>8883</v>
      </c>
      <c r="C3996" s="183"/>
    </row>
    <row r="3997" spans="1:3" x14ac:dyDescent="0.25">
      <c r="A3997" s="62" t="s">
        <v>8246</v>
      </c>
      <c r="B3997" s="63" t="s">
        <v>8247</v>
      </c>
      <c r="C3997" s="79" t="s">
        <v>8857</v>
      </c>
    </row>
    <row r="3998" spans="1:3" ht="18" x14ac:dyDescent="0.25">
      <c r="A3998" s="182"/>
      <c r="B3998" s="182" t="s">
        <v>8885</v>
      </c>
      <c r="C3998" s="183"/>
    </row>
    <row r="3999" spans="1:3" x14ac:dyDescent="0.25">
      <c r="A3999" s="62" t="s">
        <v>8248</v>
      </c>
      <c r="B3999" s="63" t="s">
        <v>8249</v>
      </c>
      <c r="C3999" s="79" t="s">
        <v>8721</v>
      </c>
    </row>
    <row r="4000" spans="1:3" ht="18" x14ac:dyDescent="0.25">
      <c r="A4000" s="182"/>
      <c r="B4000" s="182" t="s">
        <v>8952</v>
      </c>
      <c r="C4000" s="183"/>
    </row>
    <row r="4001" spans="1:3" x14ac:dyDescent="0.25">
      <c r="A4001" s="62" t="s">
        <v>8250</v>
      </c>
      <c r="B4001" s="63" t="s">
        <v>8251</v>
      </c>
      <c r="C4001" s="79" t="s">
        <v>8777</v>
      </c>
    </row>
    <row r="4002" spans="1:3" ht="18" x14ac:dyDescent="0.25">
      <c r="A4002" s="182"/>
      <c r="B4002" s="182" t="s">
        <v>9108</v>
      </c>
      <c r="C4002" s="183"/>
    </row>
    <row r="4003" spans="1:3" x14ac:dyDescent="0.25">
      <c r="A4003" s="62" t="s">
        <v>8252</v>
      </c>
      <c r="B4003" s="63" t="s">
        <v>8253</v>
      </c>
      <c r="C4003" s="79" t="s">
        <v>9109</v>
      </c>
    </row>
    <row r="4004" spans="1:3" x14ac:dyDescent="0.25">
      <c r="A4004" s="62" t="s">
        <v>8254</v>
      </c>
      <c r="B4004" s="63" t="s">
        <v>8255</v>
      </c>
      <c r="C4004" s="79" t="s">
        <v>9110</v>
      </c>
    </row>
    <row r="4005" spans="1:3" ht="18" x14ac:dyDescent="0.25">
      <c r="A4005" s="182"/>
      <c r="B4005" s="182" t="s">
        <v>8972</v>
      </c>
      <c r="C4005" s="183"/>
    </row>
    <row r="4006" spans="1:3" x14ac:dyDescent="0.25">
      <c r="A4006" s="62" t="s">
        <v>7055</v>
      </c>
      <c r="B4006" s="63" t="s">
        <v>7056</v>
      </c>
      <c r="C4006" s="79" t="s">
        <v>8777</v>
      </c>
    </row>
    <row r="4007" spans="1:3" ht="18" x14ac:dyDescent="0.25">
      <c r="A4007" s="182"/>
      <c r="B4007" s="182" t="s">
        <v>9111</v>
      </c>
      <c r="C4007" s="183"/>
    </row>
    <row r="4008" spans="1:3" x14ac:dyDescent="0.25">
      <c r="A4008" s="62" t="s">
        <v>8256</v>
      </c>
      <c r="B4008" s="63" t="s">
        <v>8257</v>
      </c>
      <c r="C4008" s="79" t="s">
        <v>8820</v>
      </c>
    </row>
    <row r="4009" spans="1:3" ht="18" x14ac:dyDescent="0.25">
      <c r="A4009" s="182"/>
      <c r="B4009" s="182" t="s">
        <v>9112</v>
      </c>
      <c r="C4009" s="183"/>
    </row>
    <row r="4010" spans="1:3" x14ac:dyDescent="0.25">
      <c r="A4010" s="62" t="s">
        <v>8258</v>
      </c>
      <c r="B4010" s="63" t="s">
        <v>8259</v>
      </c>
      <c r="C4010" s="79" t="s">
        <v>8441</v>
      </c>
    </row>
    <row r="4011" spans="1:3" x14ac:dyDescent="0.25">
      <c r="A4011" s="62" t="s">
        <v>8260</v>
      </c>
      <c r="B4011" s="63" t="s">
        <v>8261</v>
      </c>
      <c r="C4011" s="79" t="s">
        <v>8773</v>
      </c>
    </row>
    <row r="4012" spans="1:3" x14ac:dyDescent="0.25">
      <c r="A4012" s="64"/>
      <c r="B4012" s="64" t="s">
        <v>9012</v>
      </c>
      <c r="C4012" s="80"/>
    </row>
    <row r="4013" spans="1:3" ht="18" x14ac:dyDescent="0.25">
      <c r="A4013" s="182"/>
      <c r="B4013" s="182" t="s">
        <v>9113</v>
      </c>
      <c r="C4013" s="183"/>
    </row>
    <row r="4014" spans="1:3" x14ac:dyDescent="0.25">
      <c r="A4014" s="62" t="s">
        <v>8262</v>
      </c>
      <c r="B4014" s="63" t="s">
        <v>8263</v>
      </c>
      <c r="C4014" s="79" t="s">
        <v>8926</v>
      </c>
    </row>
    <row r="4015" spans="1:3" ht="18" x14ac:dyDescent="0.25">
      <c r="A4015" s="182"/>
      <c r="B4015" s="182" t="s">
        <v>9114</v>
      </c>
      <c r="C4015" s="183"/>
    </row>
    <row r="4016" spans="1:3" x14ac:dyDescent="0.25">
      <c r="A4016" s="62" t="s">
        <v>8264</v>
      </c>
      <c r="B4016" s="63" t="s">
        <v>8265</v>
      </c>
      <c r="C4016" s="79" t="s">
        <v>8660</v>
      </c>
    </row>
    <row r="4017" spans="1:3" ht="18" x14ac:dyDescent="0.25">
      <c r="A4017" s="182"/>
      <c r="B4017" s="182" t="s">
        <v>9025</v>
      </c>
      <c r="C4017" s="183"/>
    </row>
    <row r="4018" spans="1:3" x14ac:dyDescent="0.25">
      <c r="A4018" s="62" t="s">
        <v>8266</v>
      </c>
      <c r="B4018" s="63" t="s">
        <v>8267</v>
      </c>
      <c r="C4018" s="79" t="s">
        <v>8827</v>
      </c>
    </row>
    <row r="4019" spans="1:3" x14ac:dyDescent="0.25">
      <c r="A4019" s="62" t="s">
        <v>8268</v>
      </c>
      <c r="B4019" s="63" t="s">
        <v>8269</v>
      </c>
      <c r="C4019" s="79" t="s">
        <v>8931</v>
      </c>
    </row>
    <row r="4020" spans="1:3" ht="18" x14ac:dyDescent="0.25">
      <c r="A4020" s="182"/>
      <c r="B4020" s="182" t="s">
        <v>9115</v>
      </c>
      <c r="C4020" s="183"/>
    </row>
    <row r="4021" spans="1:3" x14ac:dyDescent="0.25">
      <c r="A4021" s="62" t="s">
        <v>8270</v>
      </c>
      <c r="B4021" s="63" t="s">
        <v>8271</v>
      </c>
      <c r="C4021" s="79" t="s">
        <v>8926</v>
      </c>
    </row>
    <row r="4022" spans="1:3" ht="18" x14ac:dyDescent="0.25">
      <c r="A4022" s="182"/>
      <c r="B4022" s="182" t="s">
        <v>9116</v>
      </c>
      <c r="C4022" s="183"/>
    </row>
    <row r="4023" spans="1:3" x14ac:dyDescent="0.25">
      <c r="A4023" s="62" t="s">
        <v>8272</v>
      </c>
      <c r="B4023" s="63" t="s">
        <v>8273</v>
      </c>
      <c r="C4023" s="79" t="s">
        <v>9117</v>
      </c>
    </row>
    <row r="4024" spans="1:3" ht="18" x14ac:dyDescent="0.25">
      <c r="A4024" s="182"/>
      <c r="B4024" s="182" t="s">
        <v>8245</v>
      </c>
      <c r="C4024" s="183"/>
    </row>
    <row r="4025" spans="1:3" ht="47.25" x14ac:dyDescent="0.25">
      <c r="A4025" s="62" t="s">
        <v>8274</v>
      </c>
      <c r="B4025" s="63" t="s">
        <v>8275</v>
      </c>
      <c r="C4025" s="79" t="s">
        <v>9118</v>
      </c>
    </row>
    <row r="4026" spans="1:3" x14ac:dyDescent="0.25">
      <c r="A4026" s="62" t="s">
        <v>8276</v>
      </c>
      <c r="B4026" s="63" t="s">
        <v>8277</v>
      </c>
      <c r="C4026" s="79" t="s">
        <v>9118</v>
      </c>
    </row>
    <row r="4027" spans="1:3" ht="18" x14ac:dyDescent="0.25">
      <c r="A4027" s="182"/>
      <c r="B4027" s="182" t="s">
        <v>9119</v>
      </c>
      <c r="C4027" s="183"/>
    </row>
    <row r="4028" spans="1:3" x14ac:dyDescent="0.25">
      <c r="A4028" s="62" t="s">
        <v>8278</v>
      </c>
      <c r="B4028" s="63" t="s">
        <v>8279</v>
      </c>
      <c r="C4028" s="79" t="s">
        <v>8833</v>
      </c>
    </row>
    <row r="4029" spans="1:3" ht="18" x14ac:dyDescent="0.25">
      <c r="A4029" s="182"/>
      <c r="B4029" s="182" t="s">
        <v>9120</v>
      </c>
      <c r="C4029" s="183"/>
    </row>
    <row r="4030" spans="1:3" x14ac:dyDescent="0.25">
      <c r="A4030" s="62" t="s">
        <v>8280</v>
      </c>
      <c r="B4030" s="63" t="s">
        <v>8281</v>
      </c>
      <c r="C4030" s="79" t="s">
        <v>8803</v>
      </c>
    </row>
    <row r="4031" spans="1:3" ht="18" x14ac:dyDescent="0.25">
      <c r="A4031" s="182"/>
      <c r="B4031" s="182" t="s">
        <v>9121</v>
      </c>
      <c r="C4031" s="183"/>
    </row>
    <row r="4032" spans="1:3" x14ac:dyDescent="0.25">
      <c r="A4032" s="62" t="s">
        <v>8282</v>
      </c>
      <c r="B4032" s="63" t="s">
        <v>8283</v>
      </c>
      <c r="C4032" s="79" t="s">
        <v>8700</v>
      </c>
    </row>
    <row r="4033" spans="1:3" ht="36" x14ac:dyDescent="0.25">
      <c r="A4033" s="186" t="s">
        <v>9122</v>
      </c>
      <c r="B4033" s="190" t="s">
        <v>9123</v>
      </c>
      <c r="C4033" s="191"/>
    </row>
    <row r="4034" spans="1:3" ht="47.25" x14ac:dyDescent="0.25">
      <c r="A4034" s="44" t="s">
        <v>9124</v>
      </c>
      <c r="B4034" s="66" t="s">
        <v>9125</v>
      </c>
      <c r="C4034" s="83">
        <v>839</v>
      </c>
    </row>
    <row r="4035" spans="1:3" ht="47.25" x14ac:dyDescent="0.25">
      <c r="A4035" s="44" t="s">
        <v>9126</v>
      </c>
      <c r="B4035" s="66" t="s">
        <v>9127</v>
      </c>
      <c r="C4035" s="83">
        <v>819</v>
      </c>
    </row>
    <row r="4036" spans="1:3" ht="47.25" x14ac:dyDescent="0.25">
      <c r="A4036" s="44" t="s">
        <v>9128</v>
      </c>
      <c r="B4036" s="66" t="s">
        <v>9129</v>
      </c>
      <c r="C4036" s="83">
        <v>819</v>
      </c>
    </row>
    <row r="4037" spans="1:3" ht="47.25" x14ac:dyDescent="0.25">
      <c r="A4037" s="44" t="s">
        <v>9130</v>
      </c>
      <c r="B4037" s="66" t="s">
        <v>9131</v>
      </c>
      <c r="C4037" s="83">
        <v>859</v>
      </c>
    </row>
    <row r="4038" spans="1:3" ht="47.25" x14ac:dyDescent="0.25">
      <c r="A4038" s="44" t="s">
        <v>9132</v>
      </c>
      <c r="B4038" s="66" t="s">
        <v>9133</v>
      </c>
      <c r="C4038" s="83">
        <v>919</v>
      </c>
    </row>
    <row r="4039" spans="1:3" ht="47.25" x14ac:dyDescent="0.25">
      <c r="A4039" s="44" t="s">
        <v>9134</v>
      </c>
      <c r="B4039" s="66" t="s">
        <v>9135</v>
      </c>
      <c r="C4039" s="83">
        <v>959</v>
      </c>
    </row>
    <row r="4040" spans="1:3" ht="18" x14ac:dyDescent="0.25">
      <c r="A4040" s="186" t="s">
        <v>9136</v>
      </c>
      <c r="B4040" s="187"/>
      <c r="C4040" s="188"/>
    </row>
    <row r="4041" spans="1:3" ht="47.25" x14ac:dyDescent="0.25">
      <c r="A4041" s="44" t="s">
        <v>9137</v>
      </c>
      <c r="B4041" s="66" t="s">
        <v>9138</v>
      </c>
      <c r="C4041" s="83">
        <v>959</v>
      </c>
    </row>
    <row r="4042" spans="1:3" ht="47.25" x14ac:dyDescent="0.25">
      <c r="A4042" s="44" t="s">
        <v>9139</v>
      </c>
      <c r="B4042" s="66" t="s">
        <v>9140</v>
      </c>
      <c r="C4042" s="83">
        <v>919</v>
      </c>
    </row>
    <row r="4043" spans="1:3" ht="63" x14ac:dyDescent="0.25">
      <c r="A4043" s="44" t="s">
        <v>9141</v>
      </c>
      <c r="B4043" s="66" t="s">
        <v>9142</v>
      </c>
      <c r="C4043" s="83">
        <v>1009</v>
      </c>
    </row>
    <row r="4044" spans="1:3" ht="63" x14ac:dyDescent="0.25">
      <c r="A4044" s="44" t="s">
        <v>9143</v>
      </c>
      <c r="B4044" s="66" t="s">
        <v>9144</v>
      </c>
      <c r="C4044" s="83">
        <v>969</v>
      </c>
    </row>
    <row r="4045" spans="1:3" ht="63" x14ac:dyDescent="0.25">
      <c r="A4045" s="44" t="s">
        <v>9145</v>
      </c>
      <c r="B4045" s="66" t="s">
        <v>9146</v>
      </c>
      <c r="C4045" s="83">
        <v>999</v>
      </c>
    </row>
    <row r="4046" spans="1:3" ht="63" x14ac:dyDescent="0.25">
      <c r="A4046" s="44" t="s">
        <v>9147</v>
      </c>
      <c r="B4046" s="66" t="s">
        <v>9148</v>
      </c>
      <c r="C4046" s="83">
        <v>959</v>
      </c>
    </row>
    <row r="4047" spans="1:3" x14ac:dyDescent="0.25">
      <c r="A4047" s="65"/>
      <c r="B4047" s="111"/>
      <c r="C4047" s="84"/>
    </row>
    <row r="4048" spans="1:3" ht="36" x14ac:dyDescent="0.25">
      <c r="A4048" s="186" t="s">
        <v>9122</v>
      </c>
      <c r="B4048" s="190" t="s">
        <v>9149</v>
      </c>
      <c r="C4048" s="188"/>
    </row>
    <row r="4049" spans="1:3" ht="47.25" x14ac:dyDescent="0.25">
      <c r="A4049" s="44" t="s">
        <v>9150</v>
      </c>
      <c r="B4049" s="66" t="s">
        <v>9151</v>
      </c>
      <c r="C4049" s="83">
        <v>999</v>
      </c>
    </row>
    <row r="4050" spans="1:3" ht="47.25" x14ac:dyDescent="0.25">
      <c r="A4050" s="44" t="s">
        <v>9152</v>
      </c>
      <c r="B4050" s="66" t="s">
        <v>9153</v>
      </c>
      <c r="C4050" s="83">
        <v>959</v>
      </c>
    </row>
    <row r="4051" spans="1:3" ht="47.25" x14ac:dyDescent="0.25">
      <c r="A4051" s="44" t="s">
        <v>9154</v>
      </c>
      <c r="B4051" s="66" t="s">
        <v>9155</v>
      </c>
      <c r="C4051" s="83">
        <v>1049</v>
      </c>
    </row>
    <row r="4052" spans="1:3" ht="47.25" x14ac:dyDescent="0.25">
      <c r="A4052" s="44" t="s">
        <v>9156</v>
      </c>
      <c r="B4052" s="66" t="s">
        <v>9157</v>
      </c>
      <c r="C4052" s="83">
        <v>979</v>
      </c>
    </row>
    <row r="4053" spans="1:3" ht="47.25" x14ac:dyDescent="0.25">
      <c r="A4053" s="44" t="s">
        <v>9158</v>
      </c>
      <c r="B4053" s="66" t="s">
        <v>9159</v>
      </c>
      <c r="C4053" s="83">
        <v>1009</v>
      </c>
    </row>
    <row r="4054" spans="1:3" ht="47.25" x14ac:dyDescent="0.25">
      <c r="A4054" s="44" t="s">
        <v>9160</v>
      </c>
      <c r="B4054" s="66" t="s">
        <v>9161</v>
      </c>
      <c r="C4054" s="83">
        <v>969</v>
      </c>
    </row>
    <row r="4055" spans="1:3" ht="18" x14ac:dyDescent="0.25">
      <c r="A4055" s="186" t="s">
        <v>9162</v>
      </c>
      <c r="B4055" s="187"/>
      <c r="C4055" s="188"/>
    </row>
    <row r="4056" spans="1:3" ht="47.25" x14ac:dyDescent="0.25">
      <c r="A4056" s="44" t="s">
        <v>9163</v>
      </c>
      <c r="B4056" s="66" t="s">
        <v>9164</v>
      </c>
      <c r="C4056" s="83">
        <v>1099</v>
      </c>
    </row>
    <row r="4057" spans="1:3" ht="47.25" x14ac:dyDescent="0.25">
      <c r="A4057" s="44" t="s">
        <v>9165</v>
      </c>
      <c r="B4057" s="66" t="s">
        <v>9166</v>
      </c>
      <c r="C4057" s="83">
        <v>1059</v>
      </c>
    </row>
    <row r="4058" spans="1:3" ht="63" x14ac:dyDescent="0.25">
      <c r="A4058" s="44" t="s">
        <v>9167</v>
      </c>
      <c r="B4058" s="66" t="s">
        <v>9168</v>
      </c>
      <c r="C4058" s="83">
        <v>1149</v>
      </c>
    </row>
    <row r="4059" spans="1:3" ht="63" x14ac:dyDescent="0.25">
      <c r="A4059" s="44" t="s">
        <v>9169</v>
      </c>
      <c r="B4059" s="66" t="s">
        <v>9170</v>
      </c>
      <c r="C4059" s="83">
        <v>1109</v>
      </c>
    </row>
    <row r="4060" spans="1:3" ht="63" x14ac:dyDescent="0.25">
      <c r="A4060" s="44" t="s">
        <v>9171</v>
      </c>
      <c r="B4060" s="66" t="s">
        <v>9172</v>
      </c>
      <c r="C4060" s="83">
        <v>1139</v>
      </c>
    </row>
    <row r="4061" spans="1:3" ht="63" x14ac:dyDescent="0.25">
      <c r="A4061" s="44" t="s">
        <v>9173</v>
      </c>
      <c r="B4061" s="66" t="s">
        <v>9174</v>
      </c>
      <c r="C4061" s="83">
        <v>1099</v>
      </c>
    </row>
    <row r="4062" spans="1:3" x14ac:dyDescent="0.25">
      <c r="A4062" s="65"/>
      <c r="B4062" s="111"/>
      <c r="C4062" s="84"/>
    </row>
    <row r="4063" spans="1:3" ht="36" x14ac:dyDescent="0.25">
      <c r="A4063" s="186" t="s">
        <v>9122</v>
      </c>
      <c r="B4063" s="190" t="s">
        <v>9175</v>
      </c>
      <c r="C4063" s="188"/>
    </row>
    <row r="4064" spans="1:3" ht="47.25" x14ac:dyDescent="0.25">
      <c r="A4064" s="44" t="s">
        <v>9176</v>
      </c>
      <c r="B4064" s="66" t="s">
        <v>9177</v>
      </c>
      <c r="C4064" s="83">
        <v>979</v>
      </c>
    </row>
    <row r="4065" spans="1:3" ht="47.25" x14ac:dyDescent="0.25">
      <c r="A4065" s="44" t="s">
        <v>9178</v>
      </c>
      <c r="B4065" s="66" t="s">
        <v>9179</v>
      </c>
      <c r="C4065" s="83">
        <v>939</v>
      </c>
    </row>
    <row r="4066" spans="1:3" ht="47.25" x14ac:dyDescent="0.25">
      <c r="A4066" s="44" t="s">
        <v>9180</v>
      </c>
      <c r="B4066" s="66" t="s">
        <v>9181</v>
      </c>
      <c r="C4066" s="83">
        <v>1029</v>
      </c>
    </row>
    <row r="4067" spans="1:3" ht="47.25" x14ac:dyDescent="0.25">
      <c r="A4067" s="44" t="s">
        <v>9182</v>
      </c>
      <c r="B4067" s="66" t="s">
        <v>9183</v>
      </c>
      <c r="C4067" s="83">
        <v>969</v>
      </c>
    </row>
    <row r="4068" spans="1:3" ht="47.25" x14ac:dyDescent="0.25">
      <c r="A4068" s="44" t="s">
        <v>9184</v>
      </c>
      <c r="B4068" s="66" t="s">
        <v>9185</v>
      </c>
      <c r="C4068" s="83">
        <v>1009</v>
      </c>
    </row>
    <row r="4069" spans="1:3" ht="47.25" x14ac:dyDescent="0.25">
      <c r="A4069" s="44" t="s">
        <v>9186</v>
      </c>
      <c r="B4069" s="66" t="s">
        <v>9187</v>
      </c>
      <c r="C4069" s="83">
        <v>969</v>
      </c>
    </row>
    <row r="4070" spans="1:3" ht="18" x14ac:dyDescent="0.25">
      <c r="A4070" s="186" t="s">
        <v>9136</v>
      </c>
      <c r="B4070" s="187"/>
      <c r="C4070" s="188"/>
    </row>
    <row r="4071" spans="1:3" ht="47.25" x14ac:dyDescent="0.25">
      <c r="A4071" s="44" t="s">
        <v>1016</v>
      </c>
      <c r="B4071" s="66" t="s">
        <v>9188</v>
      </c>
      <c r="C4071" s="83">
        <v>1089</v>
      </c>
    </row>
    <row r="4072" spans="1:3" ht="47.25" x14ac:dyDescent="0.25">
      <c r="A4072" s="44" t="s">
        <v>9189</v>
      </c>
      <c r="B4072" s="66" t="s">
        <v>9190</v>
      </c>
      <c r="C4072" s="83">
        <v>1049</v>
      </c>
    </row>
    <row r="4073" spans="1:3" ht="63" x14ac:dyDescent="0.25">
      <c r="A4073" s="44" t="s">
        <v>9191</v>
      </c>
      <c r="B4073" s="66" t="s">
        <v>9192</v>
      </c>
      <c r="C4073" s="83">
        <v>1149</v>
      </c>
    </row>
    <row r="4074" spans="1:3" ht="63" x14ac:dyDescent="0.25">
      <c r="A4074" s="44" t="s">
        <v>9193</v>
      </c>
      <c r="B4074" s="66" t="s">
        <v>9194</v>
      </c>
      <c r="C4074" s="83">
        <v>1099</v>
      </c>
    </row>
    <row r="4075" spans="1:3" ht="63" x14ac:dyDescent="0.25">
      <c r="A4075" s="44" t="s">
        <v>9195</v>
      </c>
      <c r="B4075" s="66" t="s">
        <v>9196</v>
      </c>
      <c r="C4075" s="83">
        <v>1129</v>
      </c>
    </row>
    <row r="4076" spans="1:3" ht="63" x14ac:dyDescent="0.25">
      <c r="A4076" s="44" t="s">
        <v>9197</v>
      </c>
      <c r="B4076" s="66" t="s">
        <v>9198</v>
      </c>
      <c r="C4076" s="83">
        <v>1089</v>
      </c>
    </row>
    <row r="4077" spans="1:3" x14ac:dyDescent="0.25">
      <c r="A4077" s="194" t="s">
        <v>9199</v>
      </c>
      <c r="B4077" s="195"/>
      <c r="C4077" s="196"/>
    </row>
    <row r="4078" spans="1:3" x14ac:dyDescent="0.25">
      <c r="A4078" s="69"/>
      <c r="B4078" s="111"/>
      <c r="C4078" s="84"/>
    </row>
    <row r="4079" spans="1:3" ht="54" x14ac:dyDescent="0.25">
      <c r="A4079" s="186" t="s">
        <v>9200</v>
      </c>
      <c r="B4079" s="193" t="s">
        <v>9201</v>
      </c>
      <c r="C4079" s="188"/>
    </row>
    <row r="4080" spans="1:3" ht="78.75" x14ac:dyDescent="0.25">
      <c r="A4080" s="44" t="s">
        <v>9202</v>
      </c>
      <c r="B4080" s="66" t="s">
        <v>9203</v>
      </c>
      <c r="C4080" s="83">
        <v>1279</v>
      </c>
    </row>
    <row r="4081" spans="1:3" ht="78.75" x14ac:dyDescent="0.25">
      <c r="A4081" s="44" t="s">
        <v>9204</v>
      </c>
      <c r="B4081" s="66" t="s">
        <v>9205</v>
      </c>
      <c r="C4081" s="83">
        <v>1279</v>
      </c>
    </row>
    <row r="4082" spans="1:3" ht="78.75" x14ac:dyDescent="0.25">
      <c r="A4082" s="125" t="s">
        <v>9206</v>
      </c>
      <c r="B4082" s="66" t="s">
        <v>9207</v>
      </c>
      <c r="C4082" s="83">
        <v>1279</v>
      </c>
    </row>
    <row r="4083" spans="1:3" ht="78.75" x14ac:dyDescent="0.25">
      <c r="A4083" s="125" t="s">
        <v>9208</v>
      </c>
      <c r="B4083" s="66" t="s">
        <v>9209</v>
      </c>
      <c r="C4083" s="83">
        <v>1279</v>
      </c>
    </row>
    <row r="4084" spans="1:3" ht="78.75" x14ac:dyDescent="0.25">
      <c r="A4084" s="125" t="s">
        <v>9210</v>
      </c>
      <c r="B4084" s="66" t="s">
        <v>9211</v>
      </c>
      <c r="C4084" s="83">
        <v>1279</v>
      </c>
    </row>
    <row r="4085" spans="1:3" ht="78.75" x14ac:dyDescent="0.25">
      <c r="A4085" s="44" t="s">
        <v>9212</v>
      </c>
      <c r="B4085" s="66" t="s">
        <v>9213</v>
      </c>
      <c r="C4085" s="83">
        <v>1279</v>
      </c>
    </row>
    <row r="4086" spans="1:3" ht="78.75" x14ac:dyDescent="0.25">
      <c r="A4086" s="125" t="s">
        <v>9214</v>
      </c>
      <c r="B4086" s="66" t="s">
        <v>9215</v>
      </c>
      <c r="C4086" s="83">
        <v>1279</v>
      </c>
    </row>
    <row r="4087" spans="1:3" ht="78.75" x14ac:dyDescent="0.25">
      <c r="A4087" s="125" t="s">
        <v>8286</v>
      </c>
      <c r="B4087" s="66" t="s">
        <v>9216</v>
      </c>
      <c r="C4087" s="83">
        <v>1279</v>
      </c>
    </row>
    <row r="4088" spans="1:3" x14ac:dyDescent="0.25">
      <c r="A4088" s="126"/>
      <c r="B4088" s="72"/>
      <c r="C4088" s="84"/>
    </row>
    <row r="4089" spans="1:3" ht="36" x14ac:dyDescent="0.25">
      <c r="A4089" s="186" t="s">
        <v>9217</v>
      </c>
      <c r="B4089" s="193" t="s">
        <v>9218</v>
      </c>
      <c r="C4089" s="188"/>
    </row>
    <row r="4090" spans="1:3" ht="63" x14ac:dyDescent="0.25">
      <c r="A4090" s="127" t="s">
        <v>9219</v>
      </c>
      <c r="B4090" s="66" t="s">
        <v>9220</v>
      </c>
      <c r="C4090" s="83">
        <v>599</v>
      </c>
    </row>
    <row r="4091" spans="1:3" ht="63" x14ac:dyDescent="0.25">
      <c r="A4091" s="127" t="s">
        <v>9221</v>
      </c>
      <c r="B4091" s="66" t="s">
        <v>9222</v>
      </c>
      <c r="C4091" s="83">
        <v>599</v>
      </c>
    </row>
    <row r="4092" spans="1:3" ht="63" x14ac:dyDescent="0.25">
      <c r="A4092" s="127" t="s">
        <v>9223</v>
      </c>
      <c r="B4092" s="66" t="s">
        <v>9224</v>
      </c>
      <c r="C4092" s="83">
        <v>599</v>
      </c>
    </row>
    <row r="4093" spans="1:3" ht="63" x14ac:dyDescent="0.25">
      <c r="A4093" s="127" t="s">
        <v>9225</v>
      </c>
      <c r="B4093" s="66" t="s">
        <v>9226</v>
      </c>
      <c r="C4093" s="83">
        <v>599</v>
      </c>
    </row>
    <row r="4094" spans="1:3" x14ac:dyDescent="0.25">
      <c r="A4094" s="128"/>
      <c r="B4094" s="72"/>
      <c r="C4094" s="84"/>
    </row>
    <row r="4095" spans="1:3" x14ac:dyDescent="0.25">
      <c r="A4095" s="65"/>
      <c r="B4095" s="198" t="s">
        <v>9227</v>
      </c>
      <c r="C4095" s="84"/>
    </row>
    <row r="4096" spans="1:3" ht="36" x14ac:dyDescent="0.25">
      <c r="A4096" s="197"/>
      <c r="B4096" s="193" t="s">
        <v>9228</v>
      </c>
      <c r="C4096" s="188"/>
    </row>
    <row r="4097" spans="1:3" ht="78.75" x14ac:dyDescent="0.25">
      <c r="A4097" s="44" t="s">
        <v>9229</v>
      </c>
      <c r="B4097" s="66" t="s">
        <v>9230</v>
      </c>
      <c r="C4097" s="83">
        <v>659</v>
      </c>
    </row>
    <row r="4098" spans="1:3" ht="78.75" x14ac:dyDescent="0.25">
      <c r="A4098" s="44" t="s">
        <v>9231</v>
      </c>
      <c r="B4098" s="66" t="s">
        <v>9232</v>
      </c>
      <c r="C4098" s="83">
        <v>689</v>
      </c>
    </row>
    <row r="4099" spans="1:3" x14ac:dyDescent="0.25">
      <c r="A4099" s="129"/>
      <c r="B4099" s="72"/>
      <c r="C4099" s="84"/>
    </row>
    <row r="4100" spans="1:3" x14ac:dyDescent="0.25">
      <c r="A4100" s="65"/>
      <c r="B4100" s="198" t="s">
        <v>9233</v>
      </c>
      <c r="C4100" s="84"/>
    </row>
    <row r="4101" spans="1:3" ht="36" x14ac:dyDescent="0.25">
      <c r="A4101" s="197"/>
      <c r="B4101" s="193" t="s">
        <v>9228</v>
      </c>
      <c r="C4101" s="188"/>
    </row>
    <row r="4102" spans="1:3" ht="78.75" x14ac:dyDescent="0.25">
      <c r="A4102" s="44" t="s">
        <v>8288</v>
      </c>
      <c r="B4102" s="66" t="s">
        <v>9230</v>
      </c>
      <c r="C4102" s="83">
        <v>659</v>
      </c>
    </row>
    <row r="4103" spans="1:3" ht="78.75" x14ac:dyDescent="0.25">
      <c r="A4103" s="44" t="s">
        <v>9234</v>
      </c>
      <c r="B4103" s="66" t="s">
        <v>9232</v>
      </c>
      <c r="C4103" s="83">
        <v>689</v>
      </c>
    </row>
    <row r="4104" spans="1:3" x14ac:dyDescent="0.25">
      <c r="A4104" s="129"/>
      <c r="B4104" s="72"/>
      <c r="C4104" s="84"/>
    </row>
    <row r="4105" spans="1:3" x14ac:dyDescent="0.25">
      <c r="A4105" s="65"/>
      <c r="B4105" s="198" t="s">
        <v>9235</v>
      </c>
      <c r="C4105" s="84"/>
    </row>
    <row r="4106" spans="1:3" ht="36" x14ac:dyDescent="0.25">
      <c r="A4106" s="197"/>
      <c r="B4106" s="193" t="s">
        <v>9236</v>
      </c>
      <c r="C4106" s="188"/>
    </row>
    <row r="4107" spans="1:3" ht="94.5" x14ac:dyDescent="0.25">
      <c r="A4107" s="44" t="s">
        <v>9237</v>
      </c>
      <c r="B4107" s="66" t="s">
        <v>9238</v>
      </c>
      <c r="C4107" s="83">
        <v>659</v>
      </c>
    </row>
    <row r="4108" spans="1:3" ht="94.5" x14ac:dyDescent="0.25">
      <c r="A4108" s="44" t="s">
        <v>9239</v>
      </c>
      <c r="B4108" s="66" t="s">
        <v>9240</v>
      </c>
      <c r="C4108" s="83">
        <v>689</v>
      </c>
    </row>
    <row r="4109" spans="1:3" x14ac:dyDescent="0.25">
      <c r="A4109" s="65"/>
      <c r="B4109" s="111"/>
      <c r="C4109" s="84"/>
    </row>
    <row r="4110" spans="1:3" ht="18" x14ac:dyDescent="0.25">
      <c r="A4110" s="200"/>
      <c r="B4110" s="193" t="s">
        <v>9241</v>
      </c>
      <c r="C4110" s="188"/>
    </row>
    <row r="4111" spans="1:3" ht="78.75" x14ac:dyDescent="0.25">
      <c r="A4111" s="44" t="s">
        <v>9242</v>
      </c>
      <c r="B4111" s="66" t="s">
        <v>9243</v>
      </c>
      <c r="C4111" s="83">
        <v>479</v>
      </c>
    </row>
    <row r="4112" spans="1:3" ht="78.75" x14ac:dyDescent="0.25">
      <c r="A4112" s="67" t="s">
        <v>9244</v>
      </c>
      <c r="B4112" s="66" t="s">
        <v>9245</v>
      </c>
      <c r="C4112" s="83">
        <v>699</v>
      </c>
    </row>
    <row r="4113" spans="1:3" x14ac:dyDescent="0.25">
      <c r="A4113" s="130"/>
      <c r="B4113" s="111"/>
      <c r="C4113" s="84"/>
    </row>
    <row r="4114" spans="1:3" ht="18" x14ac:dyDescent="0.25">
      <c r="A4114" s="197"/>
      <c r="B4114" s="193" t="s">
        <v>9246</v>
      </c>
      <c r="C4114" s="188"/>
    </row>
    <row r="4115" spans="1:3" ht="47.25" x14ac:dyDescent="0.25">
      <c r="A4115" s="44" t="s">
        <v>9247</v>
      </c>
      <c r="B4115" s="66" t="s">
        <v>9248</v>
      </c>
      <c r="C4115" s="83">
        <v>579</v>
      </c>
    </row>
    <row r="4116" spans="1:3" ht="47.25" x14ac:dyDescent="0.25">
      <c r="A4116" s="125" t="s">
        <v>9249</v>
      </c>
      <c r="B4116" s="66" t="s">
        <v>9250</v>
      </c>
      <c r="C4116" s="83">
        <v>579</v>
      </c>
    </row>
    <row r="4117" spans="1:3" x14ac:dyDescent="0.25">
      <c r="A4117" s="65"/>
      <c r="B4117" s="198" t="s">
        <v>9251</v>
      </c>
      <c r="C4117" s="84"/>
    </row>
    <row r="4118" spans="1:3" x14ac:dyDescent="0.25">
      <c r="A4118" s="65"/>
      <c r="B4118" s="195"/>
      <c r="C4118" s="84"/>
    </row>
    <row r="4119" spans="1:3" ht="54" x14ac:dyDescent="0.25">
      <c r="A4119" s="199"/>
      <c r="B4119" s="193" t="s">
        <v>9252</v>
      </c>
      <c r="C4119" s="185"/>
    </row>
    <row r="4120" spans="1:3" ht="31.5" x14ac:dyDescent="0.25">
      <c r="A4120" s="44" t="s">
        <v>9253</v>
      </c>
      <c r="B4120" s="66" t="s">
        <v>9254</v>
      </c>
      <c r="C4120" s="83">
        <v>949</v>
      </c>
    </row>
    <row r="4121" spans="1:3" ht="31.5" x14ac:dyDescent="0.25">
      <c r="A4121" s="44" t="s">
        <v>9255</v>
      </c>
      <c r="B4121" s="66" t="s">
        <v>9256</v>
      </c>
      <c r="C4121" s="83">
        <v>949</v>
      </c>
    </row>
    <row r="4122" spans="1:3" ht="31.5" x14ac:dyDescent="0.25">
      <c r="A4122" s="44" t="s">
        <v>9257</v>
      </c>
      <c r="B4122" s="66" t="s">
        <v>9258</v>
      </c>
      <c r="C4122" s="83">
        <v>1029</v>
      </c>
    </row>
    <row r="4123" spans="1:3" x14ac:dyDescent="0.25">
      <c r="A4123" s="65"/>
      <c r="B4123" s="198" t="s">
        <v>9251</v>
      </c>
      <c r="C4123" s="84"/>
    </row>
    <row r="4124" spans="1:3" x14ac:dyDescent="0.25">
      <c r="A4124" s="65"/>
      <c r="B4124" s="111"/>
      <c r="C4124" s="84"/>
    </row>
    <row r="4125" spans="1:3" ht="54" x14ac:dyDescent="0.25">
      <c r="A4125" s="200"/>
      <c r="B4125" s="193" t="s">
        <v>9259</v>
      </c>
      <c r="C4125" s="188"/>
    </row>
    <row r="4126" spans="1:3" ht="31.5" x14ac:dyDescent="0.25">
      <c r="A4126" s="44" t="s">
        <v>9260</v>
      </c>
      <c r="B4126" s="66" t="s">
        <v>9261</v>
      </c>
      <c r="C4126" s="83">
        <v>1179</v>
      </c>
    </row>
    <row r="4127" spans="1:3" ht="31.5" x14ac:dyDescent="0.25">
      <c r="A4127" s="44" t="s">
        <v>9262</v>
      </c>
      <c r="B4127" s="66" t="s">
        <v>9263</v>
      </c>
      <c r="C4127" s="83">
        <v>1179</v>
      </c>
    </row>
    <row r="4128" spans="1:3" ht="31.5" x14ac:dyDescent="0.25">
      <c r="A4128" s="44" t="s">
        <v>9264</v>
      </c>
      <c r="B4128" s="66" t="s">
        <v>9265</v>
      </c>
      <c r="C4128" s="83">
        <v>1339</v>
      </c>
    </row>
    <row r="4129" spans="1:3" x14ac:dyDescent="0.25">
      <c r="A4129" s="201"/>
      <c r="B4129" s="198" t="s">
        <v>9251</v>
      </c>
      <c r="C4129" s="196"/>
    </row>
    <row r="4130" spans="1:3" x14ac:dyDescent="0.25">
      <c r="A4130" s="65"/>
      <c r="B4130" s="68"/>
      <c r="C4130" s="84"/>
    </row>
    <row r="4131" spans="1:3" ht="54" x14ac:dyDescent="0.25">
      <c r="A4131" s="200"/>
      <c r="B4131" s="193" t="s">
        <v>9266</v>
      </c>
      <c r="C4131" s="188"/>
    </row>
    <row r="4132" spans="1:3" ht="31.5" x14ac:dyDescent="0.25">
      <c r="A4132" s="44" t="s">
        <v>9267</v>
      </c>
      <c r="B4132" s="66" t="s">
        <v>9268</v>
      </c>
      <c r="C4132" s="83">
        <v>1459</v>
      </c>
    </row>
    <row r="4133" spans="1:3" ht="31.5" x14ac:dyDescent="0.25">
      <c r="A4133" s="44" t="s">
        <v>9269</v>
      </c>
      <c r="B4133" s="66" t="s">
        <v>9270</v>
      </c>
      <c r="C4133" s="83">
        <v>1459</v>
      </c>
    </row>
    <row r="4134" spans="1:3" ht="31.5" x14ac:dyDescent="0.25">
      <c r="A4134" s="44" t="s">
        <v>9271</v>
      </c>
      <c r="B4134" s="66" t="s">
        <v>9272</v>
      </c>
      <c r="C4134" s="83">
        <v>1689</v>
      </c>
    </row>
    <row r="4135" spans="1:3" x14ac:dyDescent="0.25">
      <c r="A4135" s="65"/>
      <c r="B4135" s="68"/>
      <c r="C4135" s="84"/>
    </row>
    <row r="4136" spans="1:3" x14ac:dyDescent="0.25">
      <c r="A4136" s="201"/>
      <c r="B4136" s="198" t="s">
        <v>9273</v>
      </c>
      <c r="C4136" s="196"/>
    </row>
    <row r="4137" spans="1:3" ht="36" x14ac:dyDescent="0.25">
      <c r="A4137" s="202"/>
      <c r="B4137" s="193" t="s">
        <v>15799</v>
      </c>
      <c r="C4137" s="188"/>
    </row>
    <row r="4138" spans="1:3" ht="31.5" x14ac:dyDescent="0.25">
      <c r="A4138" s="44" t="s">
        <v>9274</v>
      </c>
      <c r="B4138" s="66" t="s">
        <v>9275</v>
      </c>
      <c r="C4138" s="83">
        <v>609</v>
      </c>
    </row>
    <row r="4139" spans="1:3" ht="31.5" x14ac:dyDescent="0.25">
      <c r="A4139" s="44" t="s">
        <v>9276</v>
      </c>
      <c r="B4139" s="66" t="s">
        <v>9277</v>
      </c>
      <c r="C4139" s="83">
        <v>609</v>
      </c>
    </row>
    <row r="4140" spans="1:3" ht="31.5" x14ac:dyDescent="0.25">
      <c r="A4140" s="44" t="s">
        <v>9278</v>
      </c>
      <c r="B4140" s="66" t="s">
        <v>9279</v>
      </c>
      <c r="C4140" s="83">
        <v>609</v>
      </c>
    </row>
    <row r="4141" spans="1:3" ht="31.5" x14ac:dyDescent="0.25">
      <c r="A4141" s="44" t="s">
        <v>9280</v>
      </c>
      <c r="B4141" s="66" t="s">
        <v>9281</v>
      </c>
      <c r="C4141" s="83">
        <v>609</v>
      </c>
    </row>
    <row r="4142" spans="1:3" ht="31.5" x14ac:dyDescent="0.25">
      <c r="A4142" s="44" t="s">
        <v>9282</v>
      </c>
      <c r="B4142" s="66" t="s">
        <v>9283</v>
      </c>
      <c r="C4142" s="83">
        <v>609</v>
      </c>
    </row>
    <row r="4143" spans="1:3" ht="31.5" x14ac:dyDescent="0.25">
      <c r="A4143" s="44" t="s">
        <v>9284</v>
      </c>
      <c r="B4143" s="66" t="s">
        <v>9285</v>
      </c>
      <c r="C4143" s="83">
        <v>609</v>
      </c>
    </row>
    <row r="4144" spans="1:3" ht="31.5" x14ac:dyDescent="0.25">
      <c r="A4144" s="44" t="s">
        <v>9286</v>
      </c>
      <c r="B4144" s="66" t="s">
        <v>9287</v>
      </c>
      <c r="C4144" s="83">
        <v>609</v>
      </c>
    </row>
    <row r="4145" spans="1:3" x14ac:dyDescent="0.25">
      <c r="A4145" s="203"/>
      <c r="B4145" s="198" t="s">
        <v>9251</v>
      </c>
      <c r="C4145" s="196"/>
    </row>
    <row r="4146" spans="1:3" x14ac:dyDescent="0.25">
      <c r="A4146" s="126"/>
      <c r="B4146" s="68"/>
      <c r="C4146" s="84"/>
    </row>
    <row r="4147" spans="1:3" x14ac:dyDescent="0.25">
      <c r="A4147" s="126"/>
      <c r="B4147" s="198" t="s">
        <v>9273</v>
      </c>
      <c r="C4147" s="84"/>
    </row>
    <row r="4148" spans="1:3" ht="36" x14ac:dyDescent="0.25">
      <c r="A4148" s="202"/>
      <c r="B4148" s="193" t="s">
        <v>15800</v>
      </c>
      <c r="C4148" s="188"/>
    </row>
    <row r="4149" spans="1:3" ht="31.5" x14ac:dyDescent="0.25">
      <c r="A4149" s="44" t="s">
        <v>9288</v>
      </c>
      <c r="B4149" s="66" t="s">
        <v>9289</v>
      </c>
      <c r="C4149" s="83">
        <v>619</v>
      </c>
    </row>
    <row r="4150" spans="1:3" ht="31.5" x14ac:dyDescent="0.25">
      <c r="A4150" s="44" t="s">
        <v>9290</v>
      </c>
      <c r="B4150" s="66" t="s">
        <v>9291</v>
      </c>
      <c r="C4150" s="83">
        <v>619</v>
      </c>
    </row>
    <row r="4151" spans="1:3" ht="31.5" x14ac:dyDescent="0.25">
      <c r="A4151" s="44" t="s">
        <v>9292</v>
      </c>
      <c r="B4151" s="66" t="s">
        <v>9293</v>
      </c>
      <c r="C4151" s="83">
        <v>619</v>
      </c>
    </row>
    <row r="4152" spans="1:3" ht="31.5" x14ac:dyDescent="0.25">
      <c r="A4152" s="44" t="s">
        <v>9294</v>
      </c>
      <c r="B4152" s="66" t="s">
        <v>9295</v>
      </c>
      <c r="C4152" s="83">
        <v>619</v>
      </c>
    </row>
    <row r="4153" spans="1:3" ht="31.5" x14ac:dyDescent="0.25">
      <c r="A4153" s="44" t="s">
        <v>9296</v>
      </c>
      <c r="B4153" s="66" t="s">
        <v>9297</v>
      </c>
      <c r="C4153" s="83">
        <v>619</v>
      </c>
    </row>
    <row r="4154" spans="1:3" ht="31.5" x14ac:dyDescent="0.25">
      <c r="A4154" s="44" t="s">
        <v>9298</v>
      </c>
      <c r="B4154" s="66" t="s">
        <v>9299</v>
      </c>
      <c r="C4154" s="83">
        <v>619</v>
      </c>
    </row>
    <row r="4155" spans="1:3" ht="31.5" x14ac:dyDescent="0.25">
      <c r="A4155" s="44" t="s">
        <v>9300</v>
      </c>
      <c r="B4155" s="66" t="s">
        <v>9301</v>
      </c>
      <c r="C4155" s="83">
        <v>619</v>
      </c>
    </row>
    <row r="4156" spans="1:3" x14ac:dyDescent="0.25">
      <c r="A4156" s="65"/>
      <c r="B4156" s="198" t="s">
        <v>9251</v>
      </c>
      <c r="C4156" s="84"/>
    </row>
    <row r="4157" spans="1:3" x14ac:dyDescent="0.25">
      <c r="A4157" s="65"/>
      <c r="B4157" s="198"/>
      <c r="C4157" s="84"/>
    </row>
    <row r="4158" spans="1:3" x14ac:dyDescent="0.25">
      <c r="A4158" s="126"/>
      <c r="B4158" s="198" t="s">
        <v>9273</v>
      </c>
      <c r="C4158" s="84"/>
    </row>
    <row r="4159" spans="1:3" ht="36" x14ac:dyDescent="0.25">
      <c r="A4159" s="202"/>
      <c r="B4159" s="193" t="s">
        <v>15801</v>
      </c>
      <c r="C4159" s="188"/>
    </row>
    <row r="4160" spans="1:3" ht="31.5" x14ac:dyDescent="0.25">
      <c r="A4160" s="44" t="s">
        <v>9302</v>
      </c>
      <c r="B4160" s="66" t="s">
        <v>9303</v>
      </c>
      <c r="C4160" s="83">
        <v>629</v>
      </c>
    </row>
    <row r="4161" spans="1:3" ht="31.5" x14ac:dyDescent="0.25">
      <c r="A4161" s="44" t="s">
        <v>9304</v>
      </c>
      <c r="B4161" s="66" t="s">
        <v>9305</v>
      </c>
      <c r="C4161" s="83"/>
    </row>
    <row r="4162" spans="1:3" ht="31.5" x14ac:dyDescent="0.25">
      <c r="A4162" s="44" t="s">
        <v>9306</v>
      </c>
      <c r="B4162" s="66" t="s">
        <v>9307</v>
      </c>
      <c r="C4162" s="83">
        <v>629</v>
      </c>
    </row>
    <row r="4163" spans="1:3" ht="31.5" x14ac:dyDescent="0.25">
      <c r="A4163" s="44" t="s">
        <v>9304</v>
      </c>
      <c r="B4163" s="66" t="s">
        <v>9308</v>
      </c>
      <c r="C4163" s="83"/>
    </row>
    <row r="4164" spans="1:3" ht="31.5" x14ac:dyDescent="0.25">
      <c r="A4164" s="44" t="s">
        <v>9309</v>
      </c>
      <c r="B4164" s="66" t="s">
        <v>9310</v>
      </c>
      <c r="C4164" s="83">
        <v>629</v>
      </c>
    </row>
    <row r="4165" spans="1:3" ht="31.5" x14ac:dyDescent="0.25">
      <c r="A4165" s="44" t="s">
        <v>9311</v>
      </c>
      <c r="B4165" s="66" t="s">
        <v>9312</v>
      </c>
      <c r="C4165" s="83">
        <v>629</v>
      </c>
    </row>
    <row r="4166" spans="1:3" ht="31.5" x14ac:dyDescent="0.25">
      <c r="A4166" s="44" t="s">
        <v>9313</v>
      </c>
      <c r="B4166" s="66" t="s">
        <v>9314</v>
      </c>
      <c r="C4166" s="83">
        <v>629</v>
      </c>
    </row>
    <row r="4167" spans="1:3" x14ac:dyDescent="0.25">
      <c r="A4167" s="201"/>
      <c r="B4167" s="198" t="s">
        <v>9251</v>
      </c>
      <c r="C4167" s="196"/>
    </row>
    <row r="4168" spans="1:3" x14ac:dyDescent="0.25">
      <c r="A4168" s="194" t="s">
        <v>9315</v>
      </c>
      <c r="B4168" s="198"/>
      <c r="C4168" s="196"/>
    </row>
    <row r="4169" spans="1:3" x14ac:dyDescent="0.25">
      <c r="A4169" s="69"/>
      <c r="B4169" s="68"/>
      <c r="C4169" s="84"/>
    </row>
    <row r="4170" spans="1:3" ht="18" x14ac:dyDescent="0.25">
      <c r="A4170" s="200"/>
      <c r="B4170" s="193" t="s">
        <v>9316</v>
      </c>
      <c r="C4170" s="188"/>
    </row>
    <row r="4171" spans="1:3" x14ac:dyDescent="0.25">
      <c r="A4171" s="67" t="s">
        <v>9317</v>
      </c>
      <c r="B4171" s="66" t="s">
        <v>9318</v>
      </c>
      <c r="C4171" s="83">
        <v>279</v>
      </c>
    </row>
    <row r="4172" spans="1:3" x14ac:dyDescent="0.25">
      <c r="A4172" s="65"/>
      <c r="B4172" s="111"/>
      <c r="C4172" s="84"/>
    </row>
    <row r="4173" spans="1:3" x14ac:dyDescent="0.25">
      <c r="A4173" s="201"/>
      <c r="B4173" s="198" t="s">
        <v>9319</v>
      </c>
      <c r="C4173" s="196"/>
    </row>
    <row r="4174" spans="1:3" ht="18" x14ac:dyDescent="0.25">
      <c r="A4174" s="200"/>
      <c r="B4174" s="193" t="s">
        <v>9320</v>
      </c>
      <c r="C4174" s="188"/>
    </row>
    <row r="4175" spans="1:3" ht="47.25" x14ac:dyDescent="0.25">
      <c r="A4175" s="44" t="s">
        <v>9321</v>
      </c>
      <c r="B4175" s="66" t="s">
        <v>9322</v>
      </c>
      <c r="C4175" s="83">
        <v>679</v>
      </c>
    </row>
    <row r="4176" spans="1:3" ht="47.25" x14ac:dyDescent="0.25">
      <c r="A4176" s="44" t="s">
        <v>9323</v>
      </c>
      <c r="B4176" s="66" t="s">
        <v>9324</v>
      </c>
      <c r="C4176" s="83">
        <v>699</v>
      </c>
    </row>
    <row r="4177" spans="1:3" ht="47.25" x14ac:dyDescent="0.25">
      <c r="A4177" s="44" t="s">
        <v>9325</v>
      </c>
      <c r="B4177" s="66" t="s">
        <v>9326</v>
      </c>
      <c r="C4177" s="83">
        <v>699</v>
      </c>
    </row>
    <row r="4178" spans="1:3" x14ac:dyDescent="0.25">
      <c r="A4178" s="65"/>
      <c r="B4178" s="111"/>
      <c r="C4178" s="84"/>
    </row>
    <row r="4179" spans="1:3" x14ac:dyDescent="0.25">
      <c r="A4179" s="201"/>
      <c r="B4179" s="198" t="s">
        <v>9327</v>
      </c>
      <c r="C4179" s="196"/>
    </row>
    <row r="4180" spans="1:3" ht="18" x14ac:dyDescent="0.25">
      <c r="A4180" s="200"/>
      <c r="B4180" s="193" t="s">
        <v>9328</v>
      </c>
      <c r="C4180" s="188"/>
    </row>
    <row r="4181" spans="1:3" ht="63" x14ac:dyDescent="0.25">
      <c r="A4181" s="44" t="s">
        <v>9329</v>
      </c>
      <c r="B4181" s="66" t="s">
        <v>9330</v>
      </c>
      <c r="C4181" s="83">
        <v>889</v>
      </c>
    </row>
    <row r="4182" spans="1:3" ht="47.25" x14ac:dyDescent="0.25">
      <c r="A4182" s="44" t="s">
        <v>9331</v>
      </c>
      <c r="B4182" s="66" t="s">
        <v>9332</v>
      </c>
      <c r="C4182" s="83">
        <v>459</v>
      </c>
    </row>
    <row r="4183" spans="1:3" ht="63" x14ac:dyDescent="0.25">
      <c r="A4183" s="44" t="s">
        <v>9333</v>
      </c>
      <c r="B4183" s="66" t="s">
        <v>9334</v>
      </c>
      <c r="C4183" s="83">
        <v>929</v>
      </c>
    </row>
    <row r="4184" spans="1:3" ht="63" x14ac:dyDescent="0.25">
      <c r="A4184" s="44" t="s">
        <v>9335</v>
      </c>
      <c r="B4184" s="66" t="s">
        <v>9336</v>
      </c>
      <c r="C4184" s="83">
        <v>929</v>
      </c>
    </row>
    <row r="4185" spans="1:3" x14ac:dyDescent="0.25">
      <c r="A4185" s="129"/>
      <c r="B4185" s="72"/>
      <c r="C4185" s="84"/>
    </row>
    <row r="4186" spans="1:3" x14ac:dyDescent="0.25">
      <c r="A4186" s="201"/>
      <c r="B4186" s="198" t="s">
        <v>9337</v>
      </c>
      <c r="C4186" s="196"/>
    </row>
    <row r="4187" spans="1:3" ht="18" x14ac:dyDescent="0.25">
      <c r="A4187" s="200"/>
      <c r="B4187" s="193" t="s">
        <v>9320</v>
      </c>
      <c r="C4187" s="188"/>
    </row>
    <row r="4188" spans="1:3" ht="47.25" x14ac:dyDescent="0.25">
      <c r="A4188" s="44" t="s">
        <v>9338</v>
      </c>
      <c r="B4188" s="66" t="s">
        <v>9322</v>
      </c>
      <c r="C4188" s="83">
        <v>679</v>
      </c>
    </row>
    <row r="4189" spans="1:3" ht="47.25" x14ac:dyDescent="0.25">
      <c r="A4189" s="44" t="s">
        <v>9339</v>
      </c>
      <c r="B4189" s="66" t="s">
        <v>9324</v>
      </c>
      <c r="C4189" s="83">
        <v>699</v>
      </c>
    </row>
    <row r="4190" spans="1:3" ht="47.25" x14ac:dyDescent="0.25">
      <c r="A4190" s="44" t="s">
        <v>9340</v>
      </c>
      <c r="B4190" s="66" t="s">
        <v>9326</v>
      </c>
      <c r="C4190" s="83">
        <v>699</v>
      </c>
    </row>
    <row r="4191" spans="1:3" x14ac:dyDescent="0.25">
      <c r="A4191" s="65"/>
      <c r="B4191" s="111"/>
      <c r="C4191" s="84"/>
    </row>
    <row r="4192" spans="1:3" x14ac:dyDescent="0.25">
      <c r="A4192" s="201"/>
      <c r="B4192" s="198" t="s">
        <v>9341</v>
      </c>
      <c r="C4192" s="84"/>
    </row>
    <row r="4193" spans="1:3" ht="18" x14ac:dyDescent="0.25">
      <c r="A4193" s="200"/>
      <c r="B4193" s="193" t="s">
        <v>9328</v>
      </c>
      <c r="C4193" s="188"/>
    </row>
    <row r="4194" spans="1:3" ht="63" x14ac:dyDescent="0.25">
      <c r="A4194" s="44" t="s">
        <v>9342</v>
      </c>
      <c r="B4194" s="66" t="s">
        <v>9330</v>
      </c>
      <c r="C4194" s="83">
        <v>939</v>
      </c>
    </row>
    <row r="4195" spans="1:3" ht="47.25" x14ac:dyDescent="0.25">
      <c r="A4195" s="44" t="s">
        <v>9343</v>
      </c>
      <c r="B4195" s="66" t="s">
        <v>9332</v>
      </c>
      <c r="C4195" s="83">
        <v>459</v>
      </c>
    </row>
    <row r="4196" spans="1:3" ht="63" x14ac:dyDescent="0.25">
      <c r="A4196" s="44" t="s">
        <v>9344</v>
      </c>
      <c r="B4196" s="66" t="s">
        <v>9334</v>
      </c>
      <c r="C4196" s="83">
        <v>929</v>
      </c>
    </row>
    <row r="4197" spans="1:3" ht="63" x14ac:dyDescent="0.25">
      <c r="A4197" s="44" t="s">
        <v>9345</v>
      </c>
      <c r="B4197" s="66" t="s">
        <v>9336</v>
      </c>
      <c r="C4197" s="83">
        <v>929</v>
      </c>
    </row>
    <row r="4198" spans="1:3" x14ac:dyDescent="0.25">
      <c r="A4198" s="129"/>
      <c r="B4198" s="72"/>
      <c r="C4198" s="84"/>
    </row>
    <row r="4199" spans="1:3" x14ac:dyDescent="0.25">
      <c r="A4199" s="65"/>
      <c r="B4199" s="198" t="s">
        <v>9346</v>
      </c>
      <c r="C4199" s="84"/>
    </row>
    <row r="4200" spans="1:3" ht="18" x14ac:dyDescent="0.25">
      <c r="A4200" s="200"/>
      <c r="B4200" s="193" t="s">
        <v>9347</v>
      </c>
      <c r="C4200" s="188"/>
    </row>
    <row r="4201" spans="1:3" ht="31.5" x14ac:dyDescent="0.25">
      <c r="A4201" s="44" t="s">
        <v>9348</v>
      </c>
      <c r="B4201" s="66" t="s">
        <v>9349</v>
      </c>
      <c r="C4201" s="83">
        <v>359</v>
      </c>
    </row>
    <row r="4202" spans="1:3" ht="31.5" x14ac:dyDescent="0.25">
      <c r="A4202" s="44" t="s">
        <v>9350</v>
      </c>
      <c r="B4202" s="66" t="s">
        <v>9351</v>
      </c>
      <c r="C4202" s="83">
        <v>409</v>
      </c>
    </row>
    <row r="4203" spans="1:3" ht="31.5" x14ac:dyDescent="0.25">
      <c r="A4203" s="44" t="s">
        <v>996</v>
      </c>
      <c r="B4203" s="66" t="s">
        <v>9352</v>
      </c>
      <c r="C4203" s="83">
        <v>329</v>
      </c>
    </row>
    <row r="4204" spans="1:3" ht="31.5" x14ac:dyDescent="0.25">
      <c r="A4204" s="44" t="s">
        <v>9353</v>
      </c>
      <c r="B4204" s="66" t="s">
        <v>9354</v>
      </c>
      <c r="C4204" s="83">
        <v>329</v>
      </c>
    </row>
    <row r="4205" spans="1:3" x14ac:dyDescent="0.25">
      <c r="A4205" s="129"/>
      <c r="B4205" s="72"/>
      <c r="C4205" s="84"/>
    </row>
    <row r="4206" spans="1:3" ht="18" x14ac:dyDescent="0.25">
      <c r="A4206" s="186"/>
      <c r="B4206" s="193" t="s">
        <v>9355</v>
      </c>
      <c r="C4206" s="188"/>
    </row>
    <row r="4207" spans="1:3" ht="63" x14ac:dyDescent="0.25">
      <c r="A4207" s="44" t="s">
        <v>9356</v>
      </c>
      <c r="B4207" s="66" t="s">
        <v>9357</v>
      </c>
      <c r="C4207" s="83">
        <v>259</v>
      </c>
    </row>
    <row r="4208" spans="1:3" ht="78.75" x14ac:dyDescent="0.25">
      <c r="A4208" s="44" t="s">
        <v>9358</v>
      </c>
      <c r="B4208" s="66" t="s">
        <v>9359</v>
      </c>
      <c r="C4208" s="83">
        <v>309</v>
      </c>
    </row>
    <row r="4209" spans="1:3" ht="78.75" x14ac:dyDescent="0.25">
      <c r="A4209" s="44" t="s">
        <v>9360</v>
      </c>
      <c r="B4209" s="66" t="s">
        <v>9361</v>
      </c>
      <c r="C4209" s="83">
        <v>209</v>
      </c>
    </row>
    <row r="4210" spans="1:3" ht="94.5" x14ac:dyDescent="0.25">
      <c r="A4210" s="44" t="s">
        <v>9362</v>
      </c>
      <c r="B4210" s="66" t="s">
        <v>9363</v>
      </c>
      <c r="C4210" s="83">
        <v>489</v>
      </c>
    </row>
    <row r="4211" spans="1:3" ht="78.75" x14ac:dyDescent="0.25">
      <c r="A4211" s="44" t="s">
        <v>9364</v>
      </c>
      <c r="B4211" s="66" t="s">
        <v>9365</v>
      </c>
      <c r="C4211" s="83">
        <v>409</v>
      </c>
    </row>
    <row r="4212" spans="1:3" x14ac:dyDescent="0.25">
      <c r="A4212" s="65"/>
      <c r="B4212" s="111"/>
      <c r="C4212" s="84"/>
    </row>
    <row r="4213" spans="1:3" ht="18" x14ac:dyDescent="0.25">
      <c r="A4213" s="200"/>
      <c r="B4213" s="193" t="s">
        <v>9366</v>
      </c>
      <c r="C4213" s="188"/>
    </row>
    <row r="4214" spans="1:3" ht="47.25" x14ac:dyDescent="0.25">
      <c r="A4214" s="44" t="s">
        <v>1002</v>
      </c>
      <c r="B4214" s="66" t="s">
        <v>9367</v>
      </c>
      <c r="C4214" s="83">
        <v>339</v>
      </c>
    </row>
    <row r="4215" spans="1:3" ht="47.25" x14ac:dyDescent="0.25">
      <c r="A4215" s="44" t="s">
        <v>1012</v>
      </c>
      <c r="B4215" s="66" t="s">
        <v>9368</v>
      </c>
      <c r="C4215" s="83">
        <v>249</v>
      </c>
    </row>
    <row r="4216" spans="1:3" x14ac:dyDescent="0.25">
      <c r="A4216" s="65"/>
      <c r="B4216" s="111"/>
      <c r="C4216" s="84"/>
    </row>
    <row r="4217" spans="1:3" ht="18" x14ac:dyDescent="0.25">
      <c r="A4217" s="200"/>
      <c r="B4217" s="193" t="s">
        <v>9369</v>
      </c>
      <c r="C4217" s="188"/>
    </row>
    <row r="4218" spans="1:3" ht="18" x14ac:dyDescent="0.25">
      <c r="A4218" s="200"/>
      <c r="B4218" s="193" t="s">
        <v>9370</v>
      </c>
      <c r="C4218" s="188"/>
    </row>
    <row r="4219" spans="1:3" ht="18" x14ac:dyDescent="0.25">
      <c r="A4219" s="192" t="s">
        <v>9371</v>
      </c>
      <c r="B4219" s="202" t="s">
        <v>9372</v>
      </c>
      <c r="C4219" s="188"/>
    </row>
    <row r="4220" spans="1:3" ht="78.75" x14ac:dyDescent="0.25">
      <c r="A4220" s="125" t="s">
        <v>9373</v>
      </c>
      <c r="B4220" s="66" t="s">
        <v>9374</v>
      </c>
      <c r="C4220" s="83">
        <v>3889</v>
      </c>
    </row>
    <row r="4221" spans="1:3" ht="110.25" x14ac:dyDescent="0.25">
      <c r="A4221" s="125" t="s">
        <v>9375</v>
      </c>
      <c r="B4221" s="66" t="s">
        <v>9376</v>
      </c>
      <c r="C4221" s="83">
        <v>3889</v>
      </c>
    </row>
    <row r="4222" spans="1:3" x14ac:dyDescent="0.25">
      <c r="A4222" s="126"/>
      <c r="B4222" s="72"/>
      <c r="C4222" s="84"/>
    </row>
    <row r="4223" spans="1:3" ht="18" x14ac:dyDescent="0.25">
      <c r="A4223" s="206"/>
      <c r="B4223" s="207" t="s">
        <v>9377</v>
      </c>
      <c r="C4223" s="185"/>
    </row>
    <row r="4224" spans="1:3" ht="18" x14ac:dyDescent="0.25">
      <c r="A4224" s="205"/>
      <c r="B4224" s="193" t="s">
        <v>9370</v>
      </c>
      <c r="C4224" s="188"/>
    </row>
    <row r="4225" spans="1:3" ht="18" x14ac:dyDescent="0.25">
      <c r="A4225" s="205"/>
      <c r="B4225" s="202" t="s">
        <v>9372</v>
      </c>
      <c r="C4225" s="188"/>
    </row>
    <row r="4226" spans="1:3" ht="78.75" x14ac:dyDescent="0.25">
      <c r="A4226" s="125" t="s">
        <v>9378</v>
      </c>
      <c r="B4226" s="70" t="s">
        <v>9379</v>
      </c>
      <c r="C4226" s="83">
        <v>5599</v>
      </c>
    </row>
    <row r="4227" spans="1:3" ht="110.25" x14ac:dyDescent="0.25">
      <c r="A4227" s="125" t="s">
        <v>9380</v>
      </c>
      <c r="B4227" s="70" t="s">
        <v>9381</v>
      </c>
      <c r="C4227" s="83">
        <v>5599</v>
      </c>
    </row>
    <row r="4228" spans="1:3" x14ac:dyDescent="0.25">
      <c r="A4228" s="65"/>
      <c r="B4228" s="111"/>
      <c r="C4228" s="84"/>
    </row>
    <row r="4229" spans="1:3" ht="18" x14ac:dyDescent="0.25">
      <c r="A4229" s="200"/>
      <c r="B4229" s="193" t="s">
        <v>9382</v>
      </c>
      <c r="C4229" s="188"/>
    </row>
    <row r="4230" spans="1:3" ht="18" x14ac:dyDescent="0.25">
      <c r="A4230" s="200"/>
      <c r="B4230" s="193" t="s">
        <v>9383</v>
      </c>
      <c r="C4230" s="188"/>
    </row>
    <row r="4231" spans="1:3" ht="110.25" x14ac:dyDescent="0.25">
      <c r="A4231" s="125" t="s">
        <v>9384</v>
      </c>
      <c r="B4231" s="66" t="s">
        <v>9385</v>
      </c>
      <c r="C4231" s="83">
        <v>3239</v>
      </c>
    </row>
    <row r="4232" spans="1:3" ht="141.75" x14ac:dyDescent="0.25">
      <c r="A4232" s="125" t="s">
        <v>9386</v>
      </c>
      <c r="B4232" s="66" t="s">
        <v>9387</v>
      </c>
      <c r="C4232" s="83">
        <v>3239</v>
      </c>
    </row>
    <row r="4233" spans="1:3" x14ac:dyDescent="0.25">
      <c r="A4233" s="65"/>
      <c r="B4233" s="111"/>
      <c r="C4233" s="84"/>
    </row>
    <row r="4234" spans="1:3" ht="36" x14ac:dyDescent="0.25">
      <c r="A4234" s="200"/>
      <c r="B4234" s="193" t="s">
        <v>9388</v>
      </c>
      <c r="C4234" s="188"/>
    </row>
    <row r="4235" spans="1:3" ht="31.5" x14ac:dyDescent="0.25">
      <c r="A4235" s="125" t="s">
        <v>9389</v>
      </c>
      <c r="B4235" s="66" t="s">
        <v>9390</v>
      </c>
      <c r="C4235" s="83">
        <v>289</v>
      </c>
    </row>
    <row r="4236" spans="1:3" ht="47.25" x14ac:dyDescent="0.25">
      <c r="A4236" s="132" t="s">
        <v>9391</v>
      </c>
      <c r="B4236" s="66" t="s">
        <v>9392</v>
      </c>
      <c r="C4236" s="83">
        <v>289</v>
      </c>
    </row>
    <row r="4237" spans="1:3" x14ac:dyDescent="0.25">
      <c r="A4237" s="65"/>
      <c r="B4237" s="111"/>
      <c r="C4237" s="84"/>
    </row>
    <row r="4238" spans="1:3" ht="36" x14ac:dyDescent="0.25">
      <c r="A4238" s="200"/>
      <c r="B4238" s="190" t="s">
        <v>9393</v>
      </c>
      <c r="C4238" s="188"/>
    </row>
    <row r="4239" spans="1:3" ht="110.25" x14ac:dyDescent="0.25">
      <c r="A4239" s="125" t="s">
        <v>9394</v>
      </c>
      <c r="B4239" s="66" t="s">
        <v>9395</v>
      </c>
      <c r="C4239" s="83">
        <v>89</v>
      </c>
    </row>
    <row r="4240" spans="1:3" x14ac:dyDescent="0.25">
      <c r="A4240" s="65"/>
      <c r="B4240" s="111"/>
      <c r="C4240" s="84"/>
    </row>
    <row r="4241" spans="1:3" ht="18" x14ac:dyDescent="0.25">
      <c r="A4241" s="200"/>
      <c r="B4241" s="193" t="s">
        <v>9396</v>
      </c>
      <c r="C4241" s="188"/>
    </row>
    <row r="4242" spans="1:3" ht="63" x14ac:dyDescent="0.25">
      <c r="A4242" s="125" t="s">
        <v>9397</v>
      </c>
      <c r="B4242" s="66" t="s">
        <v>9398</v>
      </c>
      <c r="C4242" s="83">
        <v>379</v>
      </c>
    </row>
    <row r="4243" spans="1:3" ht="126" x14ac:dyDescent="0.25">
      <c r="A4243" s="125" t="s">
        <v>9399</v>
      </c>
      <c r="B4243" s="66" t="s">
        <v>9400</v>
      </c>
      <c r="C4243" s="83">
        <v>379</v>
      </c>
    </row>
    <row r="4244" spans="1:3" ht="110.25" x14ac:dyDescent="0.25">
      <c r="A4244" s="67" t="s">
        <v>9401</v>
      </c>
      <c r="B4244" s="66" t="s">
        <v>9402</v>
      </c>
      <c r="C4244" s="83">
        <v>279</v>
      </c>
    </row>
    <row r="4245" spans="1:3" x14ac:dyDescent="0.25">
      <c r="A4245" s="65"/>
      <c r="B4245" s="111"/>
      <c r="C4245" s="84"/>
    </row>
    <row r="4246" spans="1:3" x14ac:dyDescent="0.25">
      <c r="A4246" s="65"/>
      <c r="B4246" s="68" t="s">
        <v>9235</v>
      </c>
      <c r="C4246" s="84"/>
    </row>
    <row r="4247" spans="1:3" x14ac:dyDescent="0.25">
      <c r="A4247" s="65"/>
      <c r="B4247" s="133" t="s">
        <v>9403</v>
      </c>
      <c r="C4247" s="84"/>
    </row>
    <row r="4248" spans="1:3" x14ac:dyDescent="0.25">
      <c r="A4248" s="65"/>
      <c r="B4248" s="134" t="s">
        <v>9404</v>
      </c>
      <c r="C4248" s="84"/>
    </row>
    <row r="4249" spans="1:3" x14ac:dyDescent="0.25">
      <c r="A4249" s="65"/>
      <c r="B4249" s="124" t="s">
        <v>9405</v>
      </c>
      <c r="C4249" s="84"/>
    </row>
    <row r="4250" spans="1:3" ht="47.25" x14ac:dyDescent="0.25">
      <c r="A4250" s="125" t="s">
        <v>9406</v>
      </c>
      <c r="B4250" s="66" t="s">
        <v>9407</v>
      </c>
      <c r="C4250" s="83">
        <v>1089</v>
      </c>
    </row>
    <row r="4251" spans="1:3" ht="47.25" x14ac:dyDescent="0.25">
      <c r="A4251" s="125" t="s">
        <v>9408</v>
      </c>
      <c r="B4251" s="66" t="s">
        <v>9409</v>
      </c>
      <c r="C4251" s="83">
        <v>1879</v>
      </c>
    </row>
    <row r="4252" spans="1:3" x14ac:dyDescent="0.25">
      <c r="A4252" s="65"/>
      <c r="B4252" s="111"/>
      <c r="C4252" s="84"/>
    </row>
    <row r="4253" spans="1:3" x14ac:dyDescent="0.25">
      <c r="A4253" s="65"/>
      <c r="B4253" s="198" t="s">
        <v>9227</v>
      </c>
      <c r="C4253" s="84"/>
    </row>
    <row r="4254" spans="1:3" ht="18" x14ac:dyDescent="0.25">
      <c r="A4254" s="200"/>
      <c r="B4254" s="208" t="s">
        <v>9403</v>
      </c>
      <c r="C4254" s="188"/>
    </row>
    <row r="4255" spans="1:3" ht="18" x14ac:dyDescent="0.25">
      <c r="A4255" s="200"/>
      <c r="B4255" s="209" t="s">
        <v>9410</v>
      </c>
      <c r="C4255" s="188"/>
    </row>
    <row r="4256" spans="1:3" ht="18" x14ac:dyDescent="0.25">
      <c r="A4256" s="200"/>
      <c r="B4256" s="190" t="s">
        <v>9411</v>
      </c>
      <c r="C4256" s="188"/>
    </row>
    <row r="4257" spans="1:3" ht="94.5" x14ac:dyDescent="0.25">
      <c r="A4257" s="125" t="s">
        <v>9412</v>
      </c>
      <c r="B4257" s="66" t="s">
        <v>9413</v>
      </c>
      <c r="C4257" s="83">
        <v>1749</v>
      </c>
    </row>
    <row r="4258" spans="1:3" ht="94.5" x14ac:dyDescent="0.25">
      <c r="A4258" s="125" t="s">
        <v>9414</v>
      </c>
      <c r="B4258" s="66" t="s">
        <v>9415</v>
      </c>
      <c r="C4258" s="83">
        <v>1759</v>
      </c>
    </row>
    <row r="4259" spans="1:3" ht="94.5" x14ac:dyDescent="0.25">
      <c r="A4259" s="125" t="s">
        <v>9416</v>
      </c>
      <c r="B4259" s="66" t="s">
        <v>9417</v>
      </c>
      <c r="C4259" s="83">
        <v>2499</v>
      </c>
    </row>
    <row r="4260" spans="1:3" ht="94.5" x14ac:dyDescent="0.25">
      <c r="A4260" s="125" t="s">
        <v>9418</v>
      </c>
      <c r="B4260" s="66" t="s">
        <v>9419</v>
      </c>
      <c r="C4260" s="83">
        <v>2509</v>
      </c>
    </row>
    <row r="4261" spans="1:3" x14ac:dyDescent="0.25">
      <c r="A4261" s="126"/>
      <c r="B4261" s="72"/>
      <c r="C4261" s="84"/>
    </row>
    <row r="4262" spans="1:3" x14ac:dyDescent="0.25">
      <c r="A4262" s="65"/>
      <c r="B4262" s="198" t="s">
        <v>9235</v>
      </c>
      <c r="C4262" s="84"/>
    </row>
    <row r="4263" spans="1:3" ht="18" x14ac:dyDescent="0.25">
      <c r="A4263" s="200"/>
      <c r="B4263" s="193" t="s">
        <v>9420</v>
      </c>
      <c r="C4263" s="188"/>
    </row>
    <row r="4264" spans="1:3" ht="18" x14ac:dyDescent="0.25">
      <c r="A4264" s="200"/>
      <c r="B4264" s="209" t="s">
        <v>9421</v>
      </c>
      <c r="C4264" s="188"/>
    </row>
    <row r="4265" spans="1:3" ht="18" x14ac:dyDescent="0.25">
      <c r="A4265" s="200"/>
      <c r="B4265" s="190" t="s">
        <v>9422</v>
      </c>
      <c r="C4265" s="188"/>
    </row>
    <row r="4266" spans="1:3" ht="47.25" x14ac:dyDescent="0.25">
      <c r="A4266" s="125" t="s">
        <v>8290</v>
      </c>
      <c r="B4266" s="66" t="s">
        <v>9423</v>
      </c>
      <c r="C4266" s="83">
        <v>1099</v>
      </c>
    </row>
    <row r="4267" spans="1:3" ht="47.25" x14ac:dyDescent="0.25">
      <c r="A4267" s="125" t="s">
        <v>9424</v>
      </c>
      <c r="B4267" s="66" t="s">
        <v>9425</v>
      </c>
      <c r="C4267" s="83">
        <v>1839</v>
      </c>
    </row>
    <row r="4268" spans="1:3" x14ac:dyDescent="0.25">
      <c r="A4268" s="126"/>
      <c r="B4268" s="72"/>
      <c r="C4268" s="84"/>
    </row>
    <row r="4269" spans="1:3" x14ac:dyDescent="0.25">
      <c r="A4269" s="65"/>
      <c r="B4269" s="198" t="s">
        <v>9227</v>
      </c>
      <c r="C4269" s="84"/>
    </row>
    <row r="4270" spans="1:3" ht="18" x14ac:dyDescent="0.25">
      <c r="A4270" s="200"/>
      <c r="B4270" s="193" t="s">
        <v>9420</v>
      </c>
      <c r="C4270" s="188"/>
    </row>
    <row r="4271" spans="1:3" ht="18" x14ac:dyDescent="0.25">
      <c r="A4271" s="200"/>
      <c r="B4271" s="209" t="s">
        <v>9410</v>
      </c>
      <c r="C4271" s="188"/>
    </row>
    <row r="4272" spans="1:3" ht="18" x14ac:dyDescent="0.25">
      <c r="A4272" s="200"/>
      <c r="B4272" s="190" t="s">
        <v>9422</v>
      </c>
      <c r="C4272" s="188"/>
    </row>
    <row r="4273" spans="1:3" ht="94.5" x14ac:dyDescent="0.25">
      <c r="A4273" s="125" t="s">
        <v>9426</v>
      </c>
      <c r="B4273" s="66" t="s">
        <v>9427</v>
      </c>
      <c r="C4273" s="83">
        <v>1759</v>
      </c>
    </row>
    <row r="4274" spans="1:3" ht="94.5" x14ac:dyDescent="0.25">
      <c r="A4274" s="125" t="s">
        <v>9428</v>
      </c>
      <c r="B4274" s="66" t="s">
        <v>9429</v>
      </c>
      <c r="C4274" s="83">
        <v>1749</v>
      </c>
    </row>
    <row r="4275" spans="1:3" ht="94.5" x14ac:dyDescent="0.25">
      <c r="A4275" s="125" t="s">
        <v>9430</v>
      </c>
      <c r="B4275" s="66" t="s">
        <v>9431</v>
      </c>
      <c r="C4275" s="83">
        <v>2509</v>
      </c>
    </row>
    <row r="4276" spans="1:3" ht="94.5" x14ac:dyDescent="0.25">
      <c r="A4276" s="125" t="s">
        <v>9432</v>
      </c>
      <c r="B4276" s="66" t="s">
        <v>9433</v>
      </c>
      <c r="C4276" s="83">
        <v>2499</v>
      </c>
    </row>
    <row r="4277" spans="1:3" x14ac:dyDescent="0.25">
      <c r="A4277" s="126"/>
      <c r="B4277" s="72"/>
      <c r="C4277" s="84"/>
    </row>
    <row r="4278" spans="1:3" x14ac:dyDescent="0.25">
      <c r="A4278" s="203"/>
      <c r="B4278" s="198" t="s">
        <v>9235</v>
      </c>
      <c r="C4278" s="84"/>
    </row>
    <row r="4279" spans="1:3" ht="36" x14ac:dyDescent="0.25">
      <c r="A4279" s="205"/>
      <c r="B4279" s="193" t="s">
        <v>9434</v>
      </c>
      <c r="C4279" s="188"/>
    </row>
    <row r="4280" spans="1:3" ht="78.75" x14ac:dyDescent="0.25">
      <c r="A4280" s="125" t="s">
        <v>9435</v>
      </c>
      <c r="B4280" s="66" t="s">
        <v>9436</v>
      </c>
      <c r="C4280" s="83">
        <v>619</v>
      </c>
    </row>
    <row r="4281" spans="1:3" x14ac:dyDescent="0.25">
      <c r="A4281" s="126"/>
      <c r="B4281" s="72"/>
      <c r="C4281" s="84"/>
    </row>
    <row r="4282" spans="1:3" x14ac:dyDescent="0.25">
      <c r="A4282" s="65"/>
      <c r="B4282" s="198" t="s">
        <v>9235</v>
      </c>
      <c r="C4282" s="84"/>
    </row>
    <row r="4283" spans="1:3" ht="36" x14ac:dyDescent="0.25">
      <c r="A4283" s="200"/>
      <c r="B4283" s="193" t="s">
        <v>9437</v>
      </c>
      <c r="C4283" s="188"/>
    </row>
    <row r="4284" spans="1:3" ht="78.75" x14ac:dyDescent="0.25">
      <c r="A4284" s="125" t="s">
        <v>9438</v>
      </c>
      <c r="B4284" s="66" t="s">
        <v>9439</v>
      </c>
      <c r="C4284" s="83">
        <v>1249</v>
      </c>
    </row>
    <row r="4285" spans="1:3" x14ac:dyDescent="0.25">
      <c r="A4285" s="126"/>
      <c r="B4285" s="72"/>
      <c r="C4285" s="84"/>
    </row>
    <row r="4286" spans="1:3" x14ac:dyDescent="0.25">
      <c r="A4286" s="126"/>
      <c r="B4286" s="198" t="s">
        <v>9227</v>
      </c>
      <c r="C4286" s="84"/>
    </row>
    <row r="4287" spans="1:3" ht="36" x14ac:dyDescent="0.25">
      <c r="A4287" s="205"/>
      <c r="B4287" s="193" t="s">
        <v>9437</v>
      </c>
      <c r="C4287" s="188"/>
    </row>
    <row r="4288" spans="1:3" ht="94.5" x14ac:dyDescent="0.25">
      <c r="A4288" s="125" t="s">
        <v>9440</v>
      </c>
      <c r="B4288" s="66" t="s">
        <v>9441</v>
      </c>
      <c r="C4288" s="83">
        <v>1889</v>
      </c>
    </row>
    <row r="4289" spans="1:3" ht="94.5" x14ac:dyDescent="0.25">
      <c r="A4289" s="125" t="s">
        <v>9442</v>
      </c>
      <c r="B4289" s="66" t="s">
        <v>9443</v>
      </c>
      <c r="C4289" s="83">
        <v>1929</v>
      </c>
    </row>
    <row r="4290" spans="1:3" x14ac:dyDescent="0.25">
      <c r="A4290" s="126"/>
      <c r="B4290" s="72"/>
      <c r="C4290" s="84"/>
    </row>
    <row r="4291" spans="1:3" x14ac:dyDescent="0.25">
      <c r="A4291" s="201"/>
      <c r="B4291" s="198" t="s">
        <v>9233</v>
      </c>
      <c r="C4291" s="84"/>
    </row>
    <row r="4292" spans="1:3" ht="18" x14ac:dyDescent="0.25">
      <c r="A4292" s="200"/>
      <c r="B4292" s="208" t="s">
        <v>9403</v>
      </c>
      <c r="C4292" s="188"/>
    </row>
    <row r="4293" spans="1:3" ht="18" x14ac:dyDescent="0.25">
      <c r="A4293" s="200"/>
      <c r="B4293" s="209" t="s">
        <v>9410</v>
      </c>
      <c r="C4293" s="188"/>
    </row>
    <row r="4294" spans="1:3" ht="18" x14ac:dyDescent="0.25">
      <c r="A4294" s="200"/>
      <c r="B4294" s="190" t="s">
        <v>9411</v>
      </c>
      <c r="C4294" s="188"/>
    </row>
    <row r="4295" spans="1:3" ht="94.5" x14ac:dyDescent="0.25">
      <c r="A4295" s="125" t="s">
        <v>9444</v>
      </c>
      <c r="B4295" s="66" t="s">
        <v>9413</v>
      </c>
      <c r="C4295" s="83">
        <v>1749</v>
      </c>
    </row>
    <row r="4296" spans="1:3" ht="94.5" x14ac:dyDescent="0.25">
      <c r="A4296" s="125" t="s">
        <v>9445</v>
      </c>
      <c r="B4296" s="66" t="s">
        <v>9415</v>
      </c>
      <c r="C4296" s="83">
        <v>1759</v>
      </c>
    </row>
    <row r="4297" spans="1:3" ht="94.5" x14ac:dyDescent="0.25">
      <c r="A4297" s="125" t="s">
        <v>9446</v>
      </c>
      <c r="B4297" s="66" t="s">
        <v>9417</v>
      </c>
      <c r="C4297" s="83">
        <v>2499</v>
      </c>
    </row>
    <row r="4298" spans="1:3" ht="94.5" x14ac:dyDescent="0.25">
      <c r="A4298" s="125" t="s">
        <v>9447</v>
      </c>
      <c r="B4298" s="66" t="s">
        <v>9419</v>
      </c>
      <c r="C4298" s="83">
        <v>2509</v>
      </c>
    </row>
    <row r="4299" spans="1:3" x14ac:dyDescent="0.25">
      <c r="A4299" s="126"/>
      <c r="B4299" s="72"/>
      <c r="C4299" s="84"/>
    </row>
    <row r="4300" spans="1:3" x14ac:dyDescent="0.25">
      <c r="A4300" s="201"/>
      <c r="B4300" s="198" t="s">
        <v>9233</v>
      </c>
      <c r="C4300" s="196"/>
    </row>
    <row r="4301" spans="1:3" ht="18" x14ac:dyDescent="0.25">
      <c r="A4301" s="200"/>
      <c r="B4301" s="193" t="s">
        <v>9420</v>
      </c>
      <c r="C4301" s="188"/>
    </row>
    <row r="4302" spans="1:3" ht="18" x14ac:dyDescent="0.25">
      <c r="A4302" s="200"/>
      <c r="B4302" s="209" t="s">
        <v>9410</v>
      </c>
      <c r="C4302" s="188"/>
    </row>
    <row r="4303" spans="1:3" ht="18" x14ac:dyDescent="0.25">
      <c r="A4303" s="200"/>
      <c r="B4303" s="190" t="s">
        <v>9422</v>
      </c>
      <c r="C4303" s="188"/>
    </row>
    <row r="4304" spans="1:3" ht="94.5" x14ac:dyDescent="0.25">
      <c r="A4304" s="125" t="s">
        <v>9448</v>
      </c>
      <c r="B4304" s="66" t="s">
        <v>9427</v>
      </c>
      <c r="C4304" s="83">
        <v>1759</v>
      </c>
    </row>
    <row r="4305" spans="1:3" ht="94.5" x14ac:dyDescent="0.25">
      <c r="A4305" s="125" t="s">
        <v>8292</v>
      </c>
      <c r="B4305" s="66" t="s">
        <v>9429</v>
      </c>
      <c r="C4305" s="83">
        <v>1749</v>
      </c>
    </row>
    <row r="4306" spans="1:3" ht="94.5" x14ac:dyDescent="0.25">
      <c r="A4306" s="125" t="s">
        <v>9449</v>
      </c>
      <c r="B4306" s="66" t="s">
        <v>9431</v>
      </c>
      <c r="C4306" s="83">
        <v>2509</v>
      </c>
    </row>
    <row r="4307" spans="1:3" ht="94.5" x14ac:dyDescent="0.25">
      <c r="A4307" s="125" t="s">
        <v>9450</v>
      </c>
      <c r="B4307" s="66" t="s">
        <v>9433</v>
      </c>
      <c r="C4307" s="83">
        <v>2499</v>
      </c>
    </row>
    <row r="4308" spans="1:3" x14ac:dyDescent="0.25">
      <c r="A4308" s="126"/>
      <c r="B4308" s="72"/>
      <c r="C4308" s="84"/>
    </row>
    <row r="4309" spans="1:3" x14ac:dyDescent="0.25">
      <c r="A4309" s="126"/>
      <c r="B4309" s="198" t="s">
        <v>9235</v>
      </c>
      <c r="C4309" s="84"/>
    </row>
    <row r="4310" spans="1:3" ht="18" x14ac:dyDescent="0.25">
      <c r="A4310" s="200"/>
      <c r="B4310" s="193" t="s">
        <v>9451</v>
      </c>
      <c r="C4310" s="188"/>
    </row>
    <row r="4311" spans="1:3" ht="18" x14ac:dyDescent="0.25">
      <c r="A4311" s="200"/>
      <c r="B4311" s="193" t="s">
        <v>9452</v>
      </c>
      <c r="C4311" s="188"/>
    </row>
    <row r="4312" spans="1:3" ht="31.5" x14ac:dyDescent="0.25">
      <c r="A4312" s="125" t="s">
        <v>9453</v>
      </c>
      <c r="B4312" s="66" t="s">
        <v>9454</v>
      </c>
      <c r="C4312" s="83">
        <v>289</v>
      </c>
    </row>
    <row r="4313" spans="1:3" ht="31.5" x14ac:dyDescent="0.25">
      <c r="A4313" s="125" t="s">
        <v>9455</v>
      </c>
      <c r="B4313" s="66" t="s">
        <v>9456</v>
      </c>
      <c r="C4313" s="83">
        <v>35.99</v>
      </c>
    </row>
    <row r="4314" spans="1:3" x14ac:dyDescent="0.25">
      <c r="A4314" s="65"/>
      <c r="B4314" s="111"/>
      <c r="C4314" s="84"/>
    </row>
    <row r="4315" spans="1:3" ht="18" x14ac:dyDescent="0.25">
      <c r="A4315" s="200"/>
      <c r="B4315" s="193" t="s">
        <v>9457</v>
      </c>
      <c r="C4315" s="188"/>
    </row>
    <row r="4316" spans="1:3" ht="18" x14ac:dyDescent="0.25">
      <c r="A4316" s="200"/>
      <c r="B4316" s="193" t="s">
        <v>9458</v>
      </c>
      <c r="C4316" s="188"/>
    </row>
    <row r="4317" spans="1:3" ht="18" x14ac:dyDescent="0.25">
      <c r="A4317" s="177" t="s">
        <v>9459</v>
      </c>
      <c r="B4317" s="202" t="s">
        <v>9460</v>
      </c>
      <c r="C4317" s="188"/>
    </row>
    <row r="4318" spans="1:3" ht="47.25" x14ac:dyDescent="0.25">
      <c r="A4318" s="125" t="s">
        <v>9461</v>
      </c>
      <c r="B4318" s="66" t="s">
        <v>9462</v>
      </c>
      <c r="C4318" s="83">
        <v>1259</v>
      </c>
    </row>
    <row r="4319" spans="1:3" ht="47.25" x14ac:dyDescent="0.25">
      <c r="A4319" s="125" t="s">
        <v>9463</v>
      </c>
      <c r="B4319" s="66" t="s">
        <v>9464</v>
      </c>
      <c r="C4319" s="83">
        <v>1479</v>
      </c>
    </row>
    <row r="4320" spans="1:3" ht="47.25" x14ac:dyDescent="0.25">
      <c r="A4320" s="125" t="s">
        <v>9465</v>
      </c>
      <c r="B4320" s="66" t="s">
        <v>9466</v>
      </c>
      <c r="C4320" s="83">
        <v>1479</v>
      </c>
    </row>
    <row r="4321" spans="1:3" ht="47.25" x14ac:dyDescent="0.25">
      <c r="A4321" s="125" t="s">
        <v>9467</v>
      </c>
      <c r="B4321" s="66" t="s">
        <v>9468</v>
      </c>
      <c r="C4321" s="83">
        <v>1799</v>
      </c>
    </row>
    <row r="4322" spans="1:3" ht="18" x14ac:dyDescent="0.25">
      <c r="A4322" s="177" t="s">
        <v>9469</v>
      </c>
      <c r="B4322" s="187"/>
      <c r="C4322" s="188"/>
    </row>
    <row r="4323" spans="1:3" ht="47.25" x14ac:dyDescent="0.25">
      <c r="A4323" s="125" t="s">
        <v>9470</v>
      </c>
      <c r="B4323" s="66" t="s">
        <v>9471</v>
      </c>
      <c r="C4323" s="83">
        <v>1359</v>
      </c>
    </row>
    <row r="4324" spans="1:3" ht="47.25" x14ac:dyDescent="0.25">
      <c r="A4324" s="125" t="s">
        <v>9472</v>
      </c>
      <c r="B4324" s="66" t="s">
        <v>9473</v>
      </c>
      <c r="C4324" s="83">
        <v>1579</v>
      </c>
    </row>
    <row r="4325" spans="1:3" ht="47.25" x14ac:dyDescent="0.25">
      <c r="A4325" s="125" t="s">
        <v>9474</v>
      </c>
      <c r="B4325" s="66" t="s">
        <v>9475</v>
      </c>
      <c r="C4325" s="83">
        <v>1579</v>
      </c>
    </row>
    <row r="4326" spans="1:3" ht="47.25" x14ac:dyDescent="0.25">
      <c r="A4326" s="125" t="s">
        <v>9476</v>
      </c>
      <c r="B4326" s="136" t="s">
        <v>9477</v>
      </c>
      <c r="C4326" s="83">
        <v>1899</v>
      </c>
    </row>
    <row r="4327" spans="1:3" ht="47.25" x14ac:dyDescent="0.25">
      <c r="A4327" s="125" t="s">
        <v>9478</v>
      </c>
      <c r="B4327" s="66" t="s">
        <v>9479</v>
      </c>
      <c r="C4327" s="83">
        <v>1799</v>
      </c>
    </row>
    <row r="4328" spans="1:3" ht="18" x14ac:dyDescent="0.25">
      <c r="A4328" s="177" t="s">
        <v>9480</v>
      </c>
      <c r="B4328" s="187"/>
      <c r="C4328" s="188"/>
    </row>
    <row r="4329" spans="1:3" ht="47.25" x14ac:dyDescent="0.25">
      <c r="A4329" s="125" t="s">
        <v>9481</v>
      </c>
      <c r="B4329" s="66" t="s">
        <v>9482</v>
      </c>
      <c r="C4329" s="83">
        <v>1879</v>
      </c>
    </row>
    <row r="4330" spans="1:3" ht="47.25" x14ac:dyDescent="0.25">
      <c r="A4330" s="125" t="s">
        <v>9483</v>
      </c>
      <c r="B4330" s="66" t="s">
        <v>9484</v>
      </c>
      <c r="C4330" s="83">
        <v>2099</v>
      </c>
    </row>
    <row r="4331" spans="1:3" ht="47.25" x14ac:dyDescent="0.25">
      <c r="A4331" s="125" t="s">
        <v>9485</v>
      </c>
      <c r="B4331" s="66" t="s">
        <v>9486</v>
      </c>
      <c r="C4331" s="83">
        <v>2099</v>
      </c>
    </row>
    <row r="4332" spans="1:3" ht="47.25" x14ac:dyDescent="0.25">
      <c r="A4332" s="125" t="s">
        <v>9487</v>
      </c>
      <c r="B4332" s="66" t="s">
        <v>9488</v>
      </c>
      <c r="C4332" s="83">
        <v>1879</v>
      </c>
    </row>
    <row r="4333" spans="1:3" ht="47.25" x14ac:dyDescent="0.25">
      <c r="A4333" s="125" t="s">
        <v>9489</v>
      </c>
      <c r="B4333" s="66" t="s">
        <v>9490</v>
      </c>
      <c r="C4333" s="83">
        <v>2099</v>
      </c>
    </row>
    <row r="4334" spans="1:3" ht="47.25" x14ac:dyDescent="0.25">
      <c r="A4334" s="125" t="s">
        <v>9491</v>
      </c>
      <c r="B4334" s="66" t="s">
        <v>9492</v>
      </c>
      <c r="C4334" s="83">
        <v>2099</v>
      </c>
    </row>
    <row r="4335" spans="1:3" ht="47.25" x14ac:dyDescent="0.25">
      <c r="A4335" s="125" t="s">
        <v>9493</v>
      </c>
      <c r="B4335" s="66" t="s">
        <v>9494</v>
      </c>
      <c r="C4335" s="83">
        <v>2059</v>
      </c>
    </row>
    <row r="4336" spans="1:3" ht="47.25" x14ac:dyDescent="0.25">
      <c r="A4336" s="125" t="s">
        <v>9495</v>
      </c>
      <c r="B4336" s="66" t="s">
        <v>9496</v>
      </c>
      <c r="C4336" s="83">
        <v>2039</v>
      </c>
    </row>
    <row r="4337" spans="1:3" ht="18" x14ac:dyDescent="0.25">
      <c r="A4337" s="177" t="s">
        <v>9497</v>
      </c>
      <c r="B4337" s="187"/>
      <c r="C4337" s="188"/>
    </row>
    <row r="4338" spans="1:3" ht="47.25" x14ac:dyDescent="0.25">
      <c r="A4338" s="125" t="s">
        <v>9498</v>
      </c>
      <c r="B4338" s="66" t="s">
        <v>9499</v>
      </c>
      <c r="C4338" s="83">
        <v>1879</v>
      </c>
    </row>
    <row r="4339" spans="1:3" ht="47.25" x14ac:dyDescent="0.25">
      <c r="A4339" s="125" t="s">
        <v>9500</v>
      </c>
      <c r="B4339" s="66" t="s">
        <v>9501</v>
      </c>
      <c r="C4339" s="83">
        <v>2099</v>
      </c>
    </row>
    <row r="4340" spans="1:3" ht="47.25" x14ac:dyDescent="0.25">
      <c r="A4340" s="125" t="s">
        <v>9502</v>
      </c>
      <c r="B4340" s="66" t="s">
        <v>9503</v>
      </c>
      <c r="C4340" s="83">
        <v>2099</v>
      </c>
    </row>
    <row r="4341" spans="1:3" ht="47.25" x14ac:dyDescent="0.25">
      <c r="A4341" s="125" t="s">
        <v>9504</v>
      </c>
      <c r="B4341" s="66" t="s">
        <v>9505</v>
      </c>
      <c r="C4341" s="83">
        <v>1879</v>
      </c>
    </row>
    <row r="4342" spans="1:3" ht="47.25" x14ac:dyDescent="0.25">
      <c r="A4342" s="125" t="s">
        <v>9506</v>
      </c>
      <c r="B4342" s="66" t="s">
        <v>9507</v>
      </c>
      <c r="C4342" s="83">
        <v>2099</v>
      </c>
    </row>
    <row r="4343" spans="1:3" ht="47.25" x14ac:dyDescent="0.25">
      <c r="A4343" s="125" t="s">
        <v>9508</v>
      </c>
      <c r="B4343" s="66" t="s">
        <v>9509</v>
      </c>
      <c r="C4343" s="83">
        <v>2099</v>
      </c>
    </row>
    <row r="4344" spans="1:3" ht="47.25" x14ac:dyDescent="0.25">
      <c r="A4344" s="125" t="s">
        <v>9510</v>
      </c>
      <c r="B4344" s="66" t="s">
        <v>9511</v>
      </c>
      <c r="C4344" s="83">
        <v>2059</v>
      </c>
    </row>
    <row r="4345" spans="1:3" ht="47.25" x14ac:dyDescent="0.25">
      <c r="A4345" s="125" t="s">
        <v>9512</v>
      </c>
      <c r="B4345" s="66" t="s">
        <v>9513</v>
      </c>
      <c r="C4345" s="83">
        <v>2039</v>
      </c>
    </row>
    <row r="4346" spans="1:3" x14ac:dyDescent="0.25">
      <c r="A4346" s="65"/>
      <c r="B4346" s="111"/>
      <c r="C4346" s="84"/>
    </row>
    <row r="4347" spans="1:3" ht="18" x14ac:dyDescent="0.25">
      <c r="A4347" s="200"/>
      <c r="B4347" s="193" t="s">
        <v>9457</v>
      </c>
      <c r="C4347" s="188"/>
    </row>
    <row r="4348" spans="1:3" ht="18" x14ac:dyDescent="0.25">
      <c r="A4348" s="200"/>
      <c r="B4348" s="193" t="s">
        <v>9458</v>
      </c>
      <c r="C4348" s="188"/>
    </row>
    <row r="4349" spans="1:3" ht="18" x14ac:dyDescent="0.25">
      <c r="A4349" s="177" t="s">
        <v>9459</v>
      </c>
      <c r="B4349" s="202" t="s">
        <v>9514</v>
      </c>
      <c r="C4349" s="188"/>
    </row>
    <row r="4350" spans="1:3" ht="78.75" x14ac:dyDescent="0.25">
      <c r="A4350" s="125" t="s">
        <v>9515</v>
      </c>
      <c r="B4350" s="66" t="s">
        <v>9516</v>
      </c>
      <c r="C4350" s="83">
        <v>1259</v>
      </c>
    </row>
    <row r="4351" spans="1:3" ht="78.75" x14ac:dyDescent="0.25">
      <c r="A4351" s="125" t="s">
        <v>9517</v>
      </c>
      <c r="B4351" s="66" t="s">
        <v>9518</v>
      </c>
      <c r="C4351" s="83">
        <v>1479</v>
      </c>
    </row>
    <row r="4352" spans="1:3" ht="78.75" x14ac:dyDescent="0.25">
      <c r="A4352" s="125" t="s">
        <v>9519</v>
      </c>
      <c r="B4352" s="66" t="s">
        <v>9520</v>
      </c>
      <c r="C4352" s="83">
        <v>1479</v>
      </c>
    </row>
    <row r="4353" spans="1:3" ht="78.75" x14ac:dyDescent="0.25">
      <c r="A4353" s="125" t="s">
        <v>9521</v>
      </c>
      <c r="B4353" s="66" t="s">
        <v>9522</v>
      </c>
      <c r="C4353" s="83">
        <v>1799</v>
      </c>
    </row>
    <row r="4354" spans="1:3" ht="18" x14ac:dyDescent="0.25">
      <c r="A4354" s="177" t="s">
        <v>9469</v>
      </c>
      <c r="B4354" s="187"/>
      <c r="C4354" s="188"/>
    </row>
    <row r="4355" spans="1:3" ht="78.75" x14ac:dyDescent="0.25">
      <c r="A4355" s="125" t="s">
        <v>9523</v>
      </c>
      <c r="B4355" s="66" t="s">
        <v>9524</v>
      </c>
      <c r="C4355" s="83">
        <v>1359</v>
      </c>
    </row>
    <row r="4356" spans="1:3" ht="78.75" x14ac:dyDescent="0.25">
      <c r="A4356" s="125" t="s">
        <v>9525</v>
      </c>
      <c r="B4356" s="66" t="s">
        <v>9526</v>
      </c>
      <c r="C4356" s="83">
        <v>1579</v>
      </c>
    </row>
    <row r="4357" spans="1:3" ht="78.75" x14ac:dyDescent="0.25">
      <c r="A4357" s="125" t="s">
        <v>9527</v>
      </c>
      <c r="B4357" s="66" t="s">
        <v>9528</v>
      </c>
      <c r="C4357" s="83">
        <v>1579</v>
      </c>
    </row>
    <row r="4358" spans="1:3" ht="78.75" x14ac:dyDescent="0.25">
      <c r="A4358" s="125" t="s">
        <v>9529</v>
      </c>
      <c r="B4358" s="66" t="s">
        <v>9530</v>
      </c>
      <c r="C4358" s="83">
        <v>1899</v>
      </c>
    </row>
    <row r="4359" spans="1:3" ht="78.75" x14ac:dyDescent="0.25">
      <c r="A4359" s="125" t="s">
        <v>9531</v>
      </c>
      <c r="B4359" s="66" t="s">
        <v>9532</v>
      </c>
      <c r="C4359" s="83">
        <v>1799</v>
      </c>
    </row>
    <row r="4360" spans="1:3" ht="18" x14ac:dyDescent="0.25">
      <c r="A4360" s="177" t="s">
        <v>9497</v>
      </c>
      <c r="B4360" s="187"/>
      <c r="C4360" s="188"/>
    </row>
    <row r="4361" spans="1:3" ht="78.75" x14ac:dyDescent="0.25">
      <c r="A4361" s="125" t="s">
        <v>9533</v>
      </c>
      <c r="B4361" s="66" t="s">
        <v>9534</v>
      </c>
      <c r="C4361" s="83">
        <v>1879</v>
      </c>
    </row>
    <row r="4362" spans="1:3" ht="78.75" x14ac:dyDescent="0.25">
      <c r="A4362" s="125" t="s">
        <v>9535</v>
      </c>
      <c r="B4362" s="66" t="s">
        <v>9536</v>
      </c>
      <c r="C4362" s="83">
        <v>2099</v>
      </c>
    </row>
    <row r="4363" spans="1:3" ht="78.75" x14ac:dyDescent="0.25">
      <c r="A4363" s="125" t="s">
        <v>9537</v>
      </c>
      <c r="B4363" s="66" t="s">
        <v>9538</v>
      </c>
      <c r="C4363" s="83">
        <v>2099</v>
      </c>
    </row>
    <row r="4364" spans="1:3" ht="78.75" x14ac:dyDescent="0.25">
      <c r="A4364" s="125" t="s">
        <v>9539</v>
      </c>
      <c r="B4364" s="66" t="s">
        <v>9540</v>
      </c>
      <c r="C4364" s="83">
        <v>1879</v>
      </c>
    </row>
    <row r="4365" spans="1:3" ht="78.75" x14ac:dyDescent="0.25">
      <c r="A4365" s="125" t="s">
        <v>9541</v>
      </c>
      <c r="B4365" s="66" t="s">
        <v>9542</v>
      </c>
      <c r="C4365" s="83">
        <v>2099</v>
      </c>
    </row>
    <row r="4366" spans="1:3" ht="78.75" x14ac:dyDescent="0.25">
      <c r="A4366" s="125" t="s">
        <v>9543</v>
      </c>
      <c r="B4366" s="66" t="s">
        <v>9544</v>
      </c>
      <c r="C4366" s="83">
        <v>2099</v>
      </c>
    </row>
    <row r="4367" spans="1:3" ht="78.75" x14ac:dyDescent="0.25">
      <c r="A4367" s="125" t="s">
        <v>9545</v>
      </c>
      <c r="B4367" s="66" t="s">
        <v>9546</v>
      </c>
      <c r="C4367" s="83">
        <v>2059</v>
      </c>
    </row>
    <row r="4368" spans="1:3" ht="78.75" x14ac:dyDescent="0.25">
      <c r="A4368" s="125" t="s">
        <v>9547</v>
      </c>
      <c r="B4368" s="66" t="s">
        <v>9548</v>
      </c>
      <c r="C4368" s="83">
        <v>2039</v>
      </c>
    </row>
    <row r="4369" spans="1:3" x14ac:dyDescent="0.25">
      <c r="A4369" s="194" t="s">
        <v>9549</v>
      </c>
      <c r="B4369" s="195"/>
      <c r="C4369" s="196"/>
    </row>
    <row r="4370" spans="1:3" x14ac:dyDescent="0.25">
      <c r="A4370" s="69"/>
      <c r="B4370" s="111"/>
      <c r="C4370" s="84"/>
    </row>
    <row r="4371" spans="1:3" ht="36" x14ac:dyDescent="0.25">
      <c r="A4371" s="200"/>
      <c r="B4371" s="193" t="s">
        <v>9550</v>
      </c>
      <c r="C4371" s="188"/>
    </row>
    <row r="4372" spans="1:3" ht="31.5" x14ac:dyDescent="0.25">
      <c r="A4372" s="125" t="s">
        <v>9551</v>
      </c>
      <c r="B4372" s="66" t="s">
        <v>9552</v>
      </c>
      <c r="C4372" s="83">
        <v>389.99</v>
      </c>
    </row>
    <row r="4373" spans="1:3" ht="47.25" x14ac:dyDescent="0.25">
      <c r="A4373" s="125" t="s">
        <v>9553</v>
      </c>
      <c r="B4373" s="66" t="s">
        <v>9554</v>
      </c>
      <c r="C4373" s="83">
        <v>479</v>
      </c>
    </row>
    <row r="4374" spans="1:3" ht="47.25" x14ac:dyDescent="0.25">
      <c r="A4374" s="125" t="s">
        <v>9555</v>
      </c>
      <c r="B4374" s="66" t="s">
        <v>9556</v>
      </c>
      <c r="C4374" s="83">
        <v>479</v>
      </c>
    </row>
    <row r="4375" spans="1:3" x14ac:dyDescent="0.25">
      <c r="A4375" s="65"/>
      <c r="B4375" s="111"/>
      <c r="C4375" s="84"/>
    </row>
    <row r="4376" spans="1:3" ht="18" x14ac:dyDescent="0.25">
      <c r="A4376" s="200"/>
      <c r="B4376" s="193" t="s">
        <v>9557</v>
      </c>
      <c r="C4376" s="188"/>
    </row>
    <row r="4377" spans="1:3" ht="47.25" x14ac:dyDescent="0.25">
      <c r="A4377" s="125" t="s">
        <v>9558</v>
      </c>
      <c r="B4377" s="66" t="s">
        <v>9559</v>
      </c>
      <c r="C4377" s="83">
        <v>309</v>
      </c>
    </row>
    <row r="4378" spans="1:3" x14ac:dyDescent="0.25">
      <c r="A4378" s="65"/>
      <c r="B4378" s="111"/>
      <c r="C4378" s="84"/>
    </row>
    <row r="4379" spans="1:3" ht="72" x14ac:dyDescent="0.25">
      <c r="A4379" s="200"/>
      <c r="B4379" s="193" t="s">
        <v>9560</v>
      </c>
      <c r="C4379" s="188"/>
    </row>
    <row r="4380" spans="1:3" ht="78.75" x14ac:dyDescent="0.25">
      <c r="A4380" s="125" t="s">
        <v>9561</v>
      </c>
      <c r="B4380" s="66" t="s">
        <v>9562</v>
      </c>
      <c r="C4380" s="83">
        <v>1569</v>
      </c>
    </row>
    <row r="4381" spans="1:3" ht="31.5" x14ac:dyDescent="0.25">
      <c r="A4381" s="125" t="s">
        <v>9563</v>
      </c>
      <c r="B4381" s="66" t="s">
        <v>9564</v>
      </c>
      <c r="C4381" s="83">
        <v>3539</v>
      </c>
    </row>
    <row r="4382" spans="1:3" ht="31.5" x14ac:dyDescent="0.25">
      <c r="A4382" s="125" t="s">
        <v>9565</v>
      </c>
      <c r="B4382" s="66" t="s">
        <v>9566</v>
      </c>
      <c r="C4382" s="83">
        <v>3089</v>
      </c>
    </row>
    <row r="4383" spans="1:3" ht="31.5" x14ac:dyDescent="0.25">
      <c r="A4383" s="125" t="s">
        <v>9567</v>
      </c>
      <c r="B4383" s="66" t="s">
        <v>9568</v>
      </c>
      <c r="C4383" s="83">
        <v>3989</v>
      </c>
    </row>
    <row r="4384" spans="1:3" ht="47.25" x14ac:dyDescent="0.25">
      <c r="A4384" s="132" t="s">
        <v>9569</v>
      </c>
      <c r="B4384" s="137" t="s">
        <v>9570</v>
      </c>
      <c r="C4384" s="83">
        <v>1539</v>
      </c>
    </row>
    <row r="4385" spans="1:3" ht="31.5" x14ac:dyDescent="0.25">
      <c r="A4385" s="125" t="s">
        <v>9571</v>
      </c>
      <c r="B4385" s="66" t="s">
        <v>9572</v>
      </c>
      <c r="C4385" s="83">
        <v>719</v>
      </c>
    </row>
    <row r="4386" spans="1:3" ht="31.5" x14ac:dyDescent="0.25">
      <c r="A4386" s="125" t="s">
        <v>9573</v>
      </c>
      <c r="B4386" s="66" t="s">
        <v>9574</v>
      </c>
      <c r="C4386" s="83">
        <v>319</v>
      </c>
    </row>
    <row r="4387" spans="1:3" x14ac:dyDescent="0.25">
      <c r="A4387" s="126"/>
      <c r="B4387" s="72"/>
      <c r="C4387" s="84"/>
    </row>
    <row r="4388" spans="1:3" ht="72" x14ac:dyDescent="0.25">
      <c r="A4388" s="210"/>
      <c r="B4388" s="193" t="s">
        <v>9575</v>
      </c>
      <c r="C4388" s="188"/>
    </row>
    <row r="4389" spans="1:3" ht="78.75" x14ac:dyDescent="0.25">
      <c r="A4389" s="132" t="s">
        <v>9576</v>
      </c>
      <c r="B4389" s="66" t="s">
        <v>9562</v>
      </c>
      <c r="C4389" s="83">
        <v>1089</v>
      </c>
    </row>
    <row r="4390" spans="1:3" x14ac:dyDescent="0.25">
      <c r="A4390" s="138"/>
      <c r="B4390" s="72"/>
      <c r="C4390" s="84"/>
    </row>
    <row r="4391" spans="1:3" ht="54" x14ac:dyDescent="0.25">
      <c r="A4391" s="210"/>
      <c r="B4391" s="193" t="s">
        <v>9577</v>
      </c>
      <c r="C4391" s="188"/>
    </row>
    <row r="4392" spans="1:3" ht="78.75" x14ac:dyDescent="0.25">
      <c r="A4392" s="132" t="s">
        <v>9578</v>
      </c>
      <c r="B4392" s="66" t="s">
        <v>9562</v>
      </c>
      <c r="C4392" s="83">
        <v>1559</v>
      </c>
    </row>
    <row r="4393" spans="1:3" ht="31.5" x14ac:dyDescent="0.25">
      <c r="A4393" s="132" t="s">
        <v>9579</v>
      </c>
      <c r="B4393" s="66" t="s">
        <v>15585</v>
      </c>
      <c r="C4393" s="83">
        <v>3039</v>
      </c>
    </row>
    <row r="4394" spans="1:3" ht="31.5" x14ac:dyDescent="0.25">
      <c r="A4394" s="132" t="s">
        <v>9580</v>
      </c>
      <c r="B4394" s="66" t="s">
        <v>15586</v>
      </c>
      <c r="C4394" s="83">
        <v>2759</v>
      </c>
    </row>
    <row r="4395" spans="1:3" x14ac:dyDescent="0.25">
      <c r="A4395" s="138"/>
      <c r="B4395" s="72"/>
      <c r="C4395" s="84"/>
    </row>
    <row r="4396" spans="1:3" x14ac:dyDescent="0.25">
      <c r="A4396" s="213"/>
      <c r="B4396" s="215" t="s">
        <v>9581</v>
      </c>
      <c r="C4396" s="189"/>
    </row>
    <row r="4397" spans="1:3" ht="157.5" x14ac:dyDescent="0.25">
      <c r="A4397" s="127" t="s">
        <v>9582</v>
      </c>
      <c r="B4397" s="4" t="s">
        <v>9583</v>
      </c>
      <c r="C4397" s="83">
        <v>1599</v>
      </c>
    </row>
    <row r="4398" spans="1:3" x14ac:dyDescent="0.25">
      <c r="A4398" s="128"/>
      <c r="B4398" s="73"/>
      <c r="C4398" s="84"/>
    </row>
    <row r="4399" spans="1:3" ht="31.5" x14ac:dyDescent="0.25">
      <c r="A4399" s="213"/>
      <c r="B4399" s="214" t="s">
        <v>15802</v>
      </c>
      <c r="C4399" s="189"/>
    </row>
    <row r="4400" spans="1:3" ht="47.25" x14ac:dyDescent="0.25">
      <c r="A4400" s="127" t="s">
        <v>9584</v>
      </c>
      <c r="B4400" s="137" t="s">
        <v>9585</v>
      </c>
      <c r="C4400" s="83">
        <v>359.99</v>
      </c>
    </row>
    <row r="4401" spans="1:3" x14ac:dyDescent="0.25">
      <c r="A4401" s="127" t="s">
        <v>9586</v>
      </c>
      <c r="B4401" s="4" t="s">
        <v>9587</v>
      </c>
      <c r="C4401" s="83">
        <v>149</v>
      </c>
    </row>
    <row r="4402" spans="1:3" x14ac:dyDescent="0.25">
      <c r="A4402" s="127" t="s">
        <v>9353</v>
      </c>
      <c r="B4402" s="4" t="s">
        <v>9588</v>
      </c>
      <c r="C4402" s="83">
        <v>329</v>
      </c>
    </row>
    <row r="4403" spans="1:3" x14ac:dyDescent="0.25">
      <c r="A4403" s="71"/>
      <c r="B4403" s="139"/>
      <c r="C4403" s="84"/>
    </row>
    <row r="4404" spans="1:3" x14ac:dyDescent="0.25">
      <c r="A4404" s="211"/>
      <c r="B4404" s="212" t="s">
        <v>9589</v>
      </c>
      <c r="C4404" s="196"/>
    </row>
    <row r="4405" spans="1:3" ht="54" x14ac:dyDescent="0.25">
      <c r="A4405" s="218"/>
      <c r="B4405" s="219" t="s">
        <v>9590</v>
      </c>
      <c r="C4405" s="188"/>
    </row>
    <row r="4406" spans="1:3" ht="236.25" x14ac:dyDescent="0.25">
      <c r="A4406" s="127" t="s">
        <v>9591</v>
      </c>
      <c r="B4406" s="4" t="s">
        <v>9592</v>
      </c>
      <c r="C4406" s="83">
        <v>3079</v>
      </c>
    </row>
    <row r="4407" spans="1:3" ht="236.25" x14ac:dyDescent="0.25">
      <c r="A4407" s="127" t="s">
        <v>9593</v>
      </c>
      <c r="B4407" s="4" t="s">
        <v>9594</v>
      </c>
      <c r="C4407" s="83">
        <v>4559</v>
      </c>
    </row>
    <row r="4408" spans="1:3" x14ac:dyDescent="0.25">
      <c r="A4408" s="128"/>
      <c r="B4408" s="73"/>
      <c r="C4408" s="84"/>
    </row>
    <row r="4409" spans="1:3" ht="18" x14ac:dyDescent="0.25">
      <c r="A4409" s="200"/>
      <c r="B4409" s="193" t="s">
        <v>9595</v>
      </c>
      <c r="C4409" s="188"/>
    </row>
    <row r="4410" spans="1:3" ht="18" x14ac:dyDescent="0.25">
      <c r="A4410" s="200"/>
      <c r="B4410" s="193" t="s">
        <v>9596</v>
      </c>
      <c r="C4410" s="188"/>
    </row>
    <row r="4411" spans="1:3" ht="31.5" x14ac:dyDescent="0.25">
      <c r="A4411" s="125" t="s">
        <v>9597</v>
      </c>
      <c r="B4411" s="66" t="s">
        <v>9598</v>
      </c>
      <c r="C4411" s="83">
        <v>2619</v>
      </c>
    </row>
    <row r="4412" spans="1:3" x14ac:dyDescent="0.25">
      <c r="A4412" s="65"/>
      <c r="B4412" s="111"/>
      <c r="C4412" s="84"/>
    </row>
    <row r="4413" spans="1:3" ht="18" x14ac:dyDescent="0.25">
      <c r="A4413" s="200"/>
      <c r="B4413" s="193" t="s">
        <v>9599</v>
      </c>
      <c r="C4413" s="188"/>
    </row>
    <row r="4414" spans="1:3" ht="63" x14ac:dyDescent="0.25">
      <c r="A4414" s="132" t="s">
        <v>9600</v>
      </c>
      <c r="B4414" s="76" t="s">
        <v>9601</v>
      </c>
      <c r="C4414" s="83">
        <v>319</v>
      </c>
    </row>
    <row r="4415" spans="1:3" ht="63" x14ac:dyDescent="0.25">
      <c r="A4415" s="132" t="s">
        <v>9602</v>
      </c>
      <c r="B4415" s="76" t="s">
        <v>9603</v>
      </c>
      <c r="C4415" s="83">
        <v>309</v>
      </c>
    </row>
    <row r="4416" spans="1:3" ht="63" x14ac:dyDescent="0.25">
      <c r="A4416" s="132" t="s">
        <v>9604</v>
      </c>
      <c r="B4416" s="76" t="s">
        <v>9605</v>
      </c>
      <c r="C4416" s="83">
        <v>459</v>
      </c>
    </row>
    <row r="4417" spans="1:3" ht="63" x14ac:dyDescent="0.25">
      <c r="A4417" s="132" t="s">
        <v>9606</v>
      </c>
      <c r="B4417" s="76" t="s">
        <v>9607</v>
      </c>
      <c r="C4417" s="83">
        <v>459</v>
      </c>
    </row>
    <row r="4418" spans="1:3" x14ac:dyDescent="0.25">
      <c r="A4418" s="140"/>
      <c r="B4418" s="141"/>
      <c r="C4418" s="86"/>
    </row>
    <row r="4419" spans="1:3" ht="36" x14ac:dyDescent="0.25">
      <c r="A4419" s="186" t="s">
        <v>9122</v>
      </c>
      <c r="B4419" s="190" t="s">
        <v>9175</v>
      </c>
      <c r="C4419" s="220"/>
    </row>
    <row r="4420" spans="1:3" ht="47.25" x14ac:dyDescent="0.25">
      <c r="A4420" s="44" t="s">
        <v>9608</v>
      </c>
      <c r="B4420" s="66" t="s">
        <v>9177</v>
      </c>
      <c r="C4420" s="83">
        <v>979</v>
      </c>
    </row>
    <row r="4421" spans="1:3" ht="47.25" x14ac:dyDescent="0.25">
      <c r="A4421" s="44" t="s">
        <v>9609</v>
      </c>
      <c r="B4421" s="66" t="s">
        <v>9179</v>
      </c>
      <c r="C4421" s="83">
        <v>939</v>
      </c>
    </row>
    <row r="4422" spans="1:3" ht="47.25" x14ac:dyDescent="0.25">
      <c r="A4422" s="44" t="s">
        <v>9610</v>
      </c>
      <c r="B4422" s="66" t="s">
        <v>9181</v>
      </c>
      <c r="C4422" s="83">
        <v>1029</v>
      </c>
    </row>
    <row r="4423" spans="1:3" ht="47.25" x14ac:dyDescent="0.25">
      <c r="A4423" s="44" t="s">
        <v>9611</v>
      </c>
      <c r="B4423" s="66" t="s">
        <v>9183</v>
      </c>
      <c r="C4423" s="83">
        <v>969</v>
      </c>
    </row>
    <row r="4424" spans="1:3" ht="47.25" x14ac:dyDescent="0.25">
      <c r="A4424" s="44" t="s">
        <v>9612</v>
      </c>
      <c r="B4424" s="66" t="s">
        <v>9185</v>
      </c>
      <c r="C4424" s="83">
        <v>1009</v>
      </c>
    </row>
    <row r="4425" spans="1:3" ht="47.25" x14ac:dyDescent="0.25">
      <c r="A4425" s="44" t="s">
        <v>9613</v>
      </c>
      <c r="B4425" s="66" t="s">
        <v>9187</v>
      </c>
      <c r="C4425" s="83">
        <v>969</v>
      </c>
    </row>
    <row r="4426" spans="1:3" ht="18" x14ac:dyDescent="0.25">
      <c r="A4426" s="186" t="s">
        <v>9136</v>
      </c>
      <c r="B4426" s="187"/>
      <c r="C4426" s="221"/>
    </row>
    <row r="4427" spans="1:3" ht="47.25" x14ac:dyDescent="0.25">
      <c r="A4427" s="44" t="s">
        <v>9614</v>
      </c>
      <c r="B4427" s="66" t="s">
        <v>9188</v>
      </c>
      <c r="C4427" s="83">
        <v>1089</v>
      </c>
    </row>
    <row r="4428" spans="1:3" ht="47.25" x14ac:dyDescent="0.25">
      <c r="A4428" s="44" t="s">
        <v>9615</v>
      </c>
      <c r="B4428" s="66" t="s">
        <v>9190</v>
      </c>
      <c r="C4428" s="83">
        <v>1049</v>
      </c>
    </row>
    <row r="4429" spans="1:3" ht="63" x14ac:dyDescent="0.25">
      <c r="A4429" s="44" t="s">
        <v>9616</v>
      </c>
      <c r="B4429" s="66" t="s">
        <v>9192</v>
      </c>
      <c r="C4429" s="83">
        <v>1149</v>
      </c>
    </row>
    <row r="4430" spans="1:3" ht="63" x14ac:dyDescent="0.25">
      <c r="A4430" s="44" t="s">
        <v>9617</v>
      </c>
      <c r="B4430" s="66" t="s">
        <v>9194</v>
      </c>
      <c r="C4430" s="83">
        <v>1099</v>
      </c>
    </row>
    <row r="4431" spans="1:3" ht="63" x14ac:dyDescent="0.25">
      <c r="A4431" s="142" t="s">
        <v>9618</v>
      </c>
      <c r="B4431" s="136" t="s">
        <v>9196</v>
      </c>
      <c r="C4431" s="83">
        <v>1129</v>
      </c>
    </row>
    <row r="4432" spans="1:3" ht="63" x14ac:dyDescent="0.25">
      <c r="A4432" s="44" t="s">
        <v>9619</v>
      </c>
      <c r="B4432" s="66" t="s">
        <v>9198</v>
      </c>
      <c r="C4432" s="83">
        <v>1089</v>
      </c>
    </row>
    <row r="4433" spans="1:3" x14ac:dyDescent="0.25">
      <c r="A4433" s="194" t="s">
        <v>9199</v>
      </c>
      <c r="B4433" s="139"/>
      <c r="C4433" s="87"/>
    </row>
    <row r="4434" spans="1:3" x14ac:dyDescent="0.25">
      <c r="A4434" s="69"/>
      <c r="B4434" s="139"/>
      <c r="C4434" s="87"/>
    </row>
    <row r="4435" spans="1:3" ht="18" x14ac:dyDescent="0.25">
      <c r="A4435" s="223"/>
      <c r="B4435" s="219" t="s">
        <v>9620</v>
      </c>
      <c r="C4435" s="224"/>
    </row>
    <row r="4436" spans="1:3" ht="18" x14ac:dyDescent="0.25">
      <c r="A4436" s="223"/>
      <c r="B4436" s="219" t="s">
        <v>9621</v>
      </c>
      <c r="C4436" s="224"/>
    </row>
    <row r="4437" spans="1:3" ht="18" x14ac:dyDescent="0.25">
      <c r="A4437" s="225" t="s">
        <v>9200</v>
      </c>
      <c r="B4437" s="219" t="s">
        <v>9622</v>
      </c>
      <c r="C4437" s="224"/>
    </row>
    <row r="4438" spans="1:3" ht="78.75" x14ac:dyDescent="0.25">
      <c r="A4438" s="127" t="s">
        <v>9623</v>
      </c>
      <c r="B4438" s="66" t="s">
        <v>9209</v>
      </c>
      <c r="C4438" s="83">
        <v>1279</v>
      </c>
    </row>
    <row r="4439" spans="1:3" ht="78.75" x14ac:dyDescent="0.25">
      <c r="A4439" s="127" t="s">
        <v>9624</v>
      </c>
      <c r="B4439" s="66" t="s">
        <v>9625</v>
      </c>
      <c r="C4439" s="83">
        <v>1279</v>
      </c>
    </row>
    <row r="4440" spans="1:3" x14ac:dyDescent="0.25">
      <c r="A4440" s="128"/>
      <c r="B4440" s="72"/>
      <c r="C4440" s="87"/>
    </row>
    <row r="4441" spans="1:3" ht="36" x14ac:dyDescent="0.25">
      <c r="A4441" s="186" t="s">
        <v>9217</v>
      </c>
      <c r="B4441" s="193" t="s">
        <v>9218</v>
      </c>
      <c r="C4441" s="224"/>
    </row>
    <row r="4442" spans="1:3" ht="63" x14ac:dyDescent="0.25">
      <c r="A4442" s="127" t="s">
        <v>9626</v>
      </c>
      <c r="B4442" s="66" t="s">
        <v>9627</v>
      </c>
      <c r="C4442" s="83">
        <v>599</v>
      </c>
    </row>
    <row r="4443" spans="1:3" x14ac:dyDescent="0.25">
      <c r="A4443" s="71"/>
      <c r="B4443" s="139"/>
      <c r="C4443" s="87"/>
    </row>
    <row r="4444" spans="1:3" ht="18" x14ac:dyDescent="0.25">
      <c r="A4444" s="218"/>
      <c r="B4444" s="219" t="s">
        <v>9628</v>
      </c>
      <c r="C4444" s="224"/>
    </row>
    <row r="4445" spans="1:3" ht="18" x14ac:dyDescent="0.25">
      <c r="A4445" s="218"/>
      <c r="B4445" s="219" t="s">
        <v>9629</v>
      </c>
      <c r="C4445" s="224"/>
    </row>
    <row r="4446" spans="1:3" ht="47.25" x14ac:dyDescent="0.25">
      <c r="A4446" s="127" t="s">
        <v>9630</v>
      </c>
      <c r="B4446" s="66" t="s">
        <v>9631</v>
      </c>
      <c r="C4446" s="83">
        <v>699</v>
      </c>
    </row>
    <row r="4447" spans="1:3" x14ac:dyDescent="0.25">
      <c r="A4447" s="71"/>
      <c r="B4447" s="139"/>
      <c r="C4447" s="87"/>
    </row>
    <row r="4448" spans="1:3" ht="18" x14ac:dyDescent="0.25">
      <c r="A4448" s="218"/>
      <c r="B4448" s="219" t="s">
        <v>9246</v>
      </c>
      <c r="C4448" s="224"/>
    </row>
    <row r="4449" spans="1:3" ht="47.25" x14ac:dyDescent="0.25">
      <c r="A4449" s="127" t="s">
        <v>9632</v>
      </c>
      <c r="B4449" s="4" t="s">
        <v>9248</v>
      </c>
      <c r="C4449" s="83">
        <v>579</v>
      </c>
    </row>
    <row r="4450" spans="1:3" ht="47.25" x14ac:dyDescent="0.25">
      <c r="A4450" s="127" t="s">
        <v>9633</v>
      </c>
      <c r="B4450" s="4" t="s">
        <v>9634</v>
      </c>
      <c r="C4450" s="83">
        <v>579</v>
      </c>
    </row>
    <row r="4451" spans="1:3" x14ac:dyDescent="0.25">
      <c r="A4451" s="71"/>
      <c r="B4451" s="139"/>
      <c r="C4451" s="87"/>
    </row>
    <row r="4452" spans="1:3" ht="18" x14ac:dyDescent="0.25">
      <c r="A4452" s="218"/>
      <c r="B4452" s="219" t="s">
        <v>9635</v>
      </c>
      <c r="C4452" s="224"/>
    </row>
    <row r="4453" spans="1:3" ht="18" x14ac:dyDescent="0.25">
      <c r="A4453" s="218"/>
      <c r="B4453" s="219" t="s">
        <v>9636</v>
      </c>
      <c r="C4453" s="224"/>
    </row>
    <row r="4454" spans="1:3" ht="31.5" x14ac:dyDescent="0.25">
      <c r="A4454" s="127" t="s">
        <v>9637</v>
      </c>
      <c r="B4454" s="66" t="s">
        <v>9638</v>
      </c>
      <c r="C4454" s="83">
        <v>949</v>
      </c>
    </row>
    <row r="4455" spans="1:3" ht="31.5" x14ac:dyDescent="0.25">
      <c r="A4455" s="127" t="s">
        <v>9639</v>
      </c>
      <c r="B4455" s="66" t="s">
        <v>9256</v>
      </c>
      <c r="C4455" s="83">
        <v>949</v>
      </c>
    </row>
    <row r="4456" spans="1:3" ht="31.5" x14ac:dyDescent="0.25">
      <c r="A4456" s="127" t="s">
        <v>9640</v>
      </c>
      <c r="B4456" s="66" t="s">
        <v>9258</v>
      </c>
      <c r="C4456" s="83">
        <v>1029</v>
      </c>
    </row>
    <row r="4457" spans="1:3" x14ac:dyDescent="0.25">
      <c r="A4457" s="71"/>
      <c r="B4457" s="139"/>
      <c r="C4457" s="87"/>
    </row>
    <row r="4458" spans="1:3" ht="18" x14ac:dyDescent="0.25">
      <c r="A4458" s="218"/>
      <c r="B4458" s="219" t="s">
        <v>9635</v>
      </c>
      <c r="C4458" s="224"/>
    </row>
    <row r="4459" spans="1:3" ht="18" x14ac:dyDescent="0.25">
      <c r="A4459" s="218"/>
      <c r="B4459" s="219" t="s">
        <v>9641</v>
      </c>
      <c r="C4459" s="224"/>
    </row>
    <row r="4460" spans="1:3" ht="31.5" x14ac:dyDescent="0.25">
      <c r="A4460" s="127" t="s">
        <v>9642</v>
      </c>
      <c r="B4460" s="66" t="s">
        <v>9261</v>
      </c>
      <c r="C4460" s="83">
        <v>1179</v>
      </c>
    </row>
    <row r="4461" spans="1:3" ht="31.5" x14ac:dyDescent="0.25">
      <c r="A4461" s="127" t="s">
        <v>9643</v>
      </c>
      <c r="B4461" s="66" t="s">
        <v>9263</v>
      </c>
      <c r="C4461" s="83">
        <v>1179</v>
      </c>
    </row>
    <row r="4462" spans="1:3" ht="31.5" x14ac:dyDescent="0.25">
      <c r="A4462" s="127" t="s">
        <v>9644</v>
      </c>
      <c r="B4462" s="66" t="s">
        <v>9265</v>
      </c>
      <c r="C4462" s="83">
        <v>1339</v>
      </c>
    </row>
    <row r="4463" spans="1:3" x14ac:dyDescent="0.25">
      <c r="A4463" s="128"/>
      <c r="B4463" s="72"/>
      <c r="C4463" s="87"/>
    </row>
    <row r="4464" spans="1:3" ht="54" x14ac:dyDescent="0.25">
      <c r="A4464" s="200"/>
      <c r="B4464" s="193" t="s">
        <v>9266</v>
      </c>
      <c r="C4464" s="224"/>
    </row>
    <row r="4465" spans="1:3" ht="31.5" x14ac:dyDescent="0.25">
      <c r="A4465" s="44" t="s">
        <v>9645</v>
      </c>
      <c r="B4465" s="66" t="s">
        <v>9268</v>
      </c>
      <c r="C4465" s="83">
        <v>1459</v>
      </c>
    </row>
    <row r="4466" spans="1:3" ht="31.5" x14ac:dyDescent="0.25">
      <c r="A4466" s="44" t="s">
        <v>9646</v>
      </c>
      <c r="B4466" s="66" t="s">
        <v>9270</v>
      </c>
      <c r="C4466" s="83">
        <v>1459</v>
      </c>
    </row>
    <row r="4467" spans="1:3" ht="31.5" x14ac:dyDescent="0.25">
      <c r="A4467" s="44" t="s">
        <v>9647</v>
      </c>
      <c r="B4467" s="66" t="s">
        <v>9272</v>
      </c>
      <c r="C4467" s="83">
        <v>1689</v>
      </c>
    </row>
    <row r="4468" spans="1:3" x14ac:dyDescent="0.25">
      <c r="A4468" s="128"/>
      <c r="B4468" s="72"/>
      <c r="C4468" s="87"/>
    </row>
    <row r="4469" spans="1:3" x14ac:dyDescent="0.25">
      <c r="A4469" s="201"/>
      <c r="B4469" s="198" t="s">
        <v>9273</v>
      </c>
      <c r="C4469" s="222"/>
    </row>
    <row r="4470" spans="1:3" ht="36" x14ac:dyDescent="0.25">
      <c r="A4470" s="202"/>
      <c r="B4470" s="193" t="s">
        <v>15799</v>
      </c>
      <c r="C4470" s="224"/>
    </row>
    <row r="4471" spans="1:3" ht="31.5" x14ac:dyDescent="0.25">
      <c r="A4471" s="44" t="s">
        <v>9648</v>
      </c>
      <c r="B4471" s="66" t="s">
        <v>9275</v>
      </c>
      <c r="C4471" s="83">
        <v>609</v>
      </c>
    </row>
    <row r="4472" spans="1:3" ht="31.5" x14ac:dyDescent="0.25">
      <c r="A4472" s="44" t="s">
        <v>9649</v>
      </c>
      <c r="B4472" s="66" t="s">
        <v>9277</v>
      </c>
      <c r="C4472" s="83">
        <v>609</v>
      </c>
    </row>
    <row r="4473" spans="1:3" ht="31.5" x14ac:dyDescent="0.25">
      <c r="A4473" s="44" t="s">
        <v>9650</v>
      </c>
      <c r="B4473" s="66" t="s">
        <v>9279</v>
      </c>
      <c r="C4473" s="83">
        <v>609</v>
      </c>
    </row>
    <row r="4474" spans="1:3" ht="31.5" x14ac:dyDescent="0.25">
      <c r="A4474" s="44" t="s">
        <v>9651</v>
      </c>
      <c r="B4474" s="66" t="s">
        <v>9281</v>
      </c>
      <c r="C4474" s="83">
        <v>609</v>
      </c>
    </row>
    <row r="4475" spans="1:3" ht="31.5" x14ac:dyDescent="0.25">
      <c r="A4475" s="44" t="s">
        <v>9652</v>
      </c>
      <c r="B4475" s="66" t="s">
        <v>9283</v>
      </c>
      <c r="C4475" s="83">
        <v>609</v>
      </c>
    </row>
    <row r="4476" spans="1:3" ht="31.5" x14ac:dyDescent="0.25">
      <c r="A4476" s="44" t="s">
        <v>9653</v>
      </c>
      <c r="B4476" s="66" t="s">
        <v>9285</v>
      </c>
      <c r="C4476" s="83">
        <v>609</v>
      </c>
    </row>
    <row r="4477" spans="1:3" ht="31.5" x14ac:dyDescent="0.25">
      <c r="A4477" s="44" t="s">
        <v>9654</v>
      </c>
      <c r="B4477" s="66" t="s">
        <v>9287</v>
      </c>
      <c r="C4477" s="83">
        <v>609</v>
      </c>
    </row>
    <row r="4478" spans="1:3" x14ac:dyDescent="0.25">
      <c r="A4478" s="203"/>
      <c r="B4478" s="198" t="s">
        <v>9251</v>
      </c>
      <c r="C4478" s="222"/>
    </row>
    <row r="4479" spans="1:3" x14ac:dyDescent="0.25">
      <c r="A4479" s="126"/>
      <c r="B4479" s="68"/>
      <c r="C4479" s="87"/>
    </row>
    <row r="4480" spans="1:3" x14ac:dyDescent="0.25">
      <c r="A4480" s="126"/>
      <c r="B4480" s="198" t="s">
        <v>9273</v>
      </c>
      <c r="C4480" s="87"/>
    </row>
    <row r="4481" spans="1:3" ht="36" x14ac:dyDescent="0.25">
      <c r="A4481" s="202"/>
      <c r="B4481" s="193" t="s">
        <v>15800</v>
      </c>
      <c r="C4481" s="224"/>
    </row>
    <row r="4482" spans="1:3" ht="31.5" x14ac:dyDescent="0.25">
      <c r="A4482" s="44" t="s">
        <v>9655</v>
      </c>
      <c r="B4482" s="66" t="s">
        <v>9289</v>
      </c>
      <c r="C4482" s="83">
        <v>619</v>
      </c>
    </row>
    <row r="4483" spans="1:3" ht="31.5" x14ac:dyDescent="0.25">
      <c r="A4483" s="44" t="s">
        <v>9656</v>
      </c>
      <c r="B4483" s="66" t="s">
        <v>9291</v>
      </c>
      <c r="C4483" s="83">
        <v>619</v>
      </c>
    </row>
    <row r="4484" spans="1:3" ht="31.5" x14ac:dyDescent="0.25">
      <c r="A4484" s="44" t="s">
        <v>9657</v>
      </c>
      <c r="B4484" s="66" t="s">
        <v>9293</v>
      </c>
      <c r="C4484" s="83">
        <v>619</v>
      </c>
    </row>
    <row r="4485" spans="1:3" ht="31.5" x14ac:dyDescent="0.25">
      <c r="A4485" s="44" t="s">
        <v>9658</v>
      </c>
      <c r="B4485" s="66" t="s">
        <v>9295</v>
      </c>
      <c r="C4485" s="83">
        <v>619</v>
      </c>
    </row>
    <row r="4486" spans="1:3" ht="31.5" x14ac:dyDescent="0.25">
      <c r="A4486" s="44" t="s">
        <v>9659</v>
      </c>
      <c r="B4486" s="66" t="s">
        <v>9297</v>
      </c>
      <c r="C4486" s="83">
        <v>619</v>
      </c>
    </row>
    <row r="4487" spans="1:3" ht="31.5" x14ac:dyDescent="0.25">
      <c r="A4487" s="44" t="s">
        <v>9660</v>
      </c>
      <c r="B4487" s="66" t="s">
        <v>9299</v>
      </c>
      <c r="C4487" s="83">
        <v>619</v>
      </c>
    </row>
    <row r="4488" spans="1:3" ht="31.5" x14ac:dyDescent="0.25">
      <c r="A4488" s="44" t="s">
        <v>9661</v>
      </c>
      <c r="B4488" s="66" t="s">
        <v>9301</v>
      </c>
      <c r="C4488" s="83">
        <v>619</v>
      </c>
    </row>
    <row r="4489" spans="1:3" ht="18" x14ac:dyDescent="0.25">
      <c r="A4489" s="204"/>
      <c r="B4489" s="227" t="s">
        <v>9251</v>
      </c>
      <c r="C4489" s="226"/>
    </row>
    <row r="4490" spans="1:3" x14ac:dyDescent="0.25">
      <c r="A4490" s="65"/>
      <c r="B4490" s="68"/>
      <c r="C4490" s="87"/>
    </row>
    <row r="4491" spans="1:3" ht="18" x14ac:dyDescent="0.25">
      <c r="A4491" s="126"/>
      <c r="B4491" s="227" t="s">
        <v>9273</v>
      </c>
      <c r="C4491" s="87"/>
    </row>
    <row r="4492" spans="1:3" ht="36" x14ac:dyDescent="0.25">
      <c r="A4492" s="202"/>
      <c r="B4492" s="193" t="s">
        <v>15801</v>
      </c>
      <c r="C4492" s="224"/>
    </row>
    <row r="4493" spans="1:3" ht="31.5" x14ac:dyDescent="0.25">
      <c r="A4493" s="44" t="s">
        <v>9662</v>
      </c>
      <c r="B4493" s="66" t="s">
        <v>9303</v>
      </c>
      <c r="C4493" s="83">
        <v>629</v>
      </c>
    </row>
    <row r="4494" spans="1:3" ht="31.5" x14ac:dyDescent="0.25">
      <c r="A4494" s="44" t="s">
        <v>9304</v>
      </c>
      <c r="B4494" s="66" t="s">
        <v>9305</v>
      </c>
      <c r="C4494" s="83">
        <v>0</v>
      </c>
    </row>
    <row r="4495" spans="1:3" ht="31.5" x14ac:dyDescent="0.25">
      <c r="A4495" s="44" t="s">
        <v>9663</v>
      </c>
      <c r="B4495" s="66" t="s">
        <v>9307</v>
      </c>
      <c r="C4495" s="83">
        <v>629</v>
      </c>
    </row>
    <row r="4496" spans="1:3" ht="31.5" x14ac:dyDescent="0.25">
      <c r="A4496" s="44" t="s">
        <v>9304</v>
      </c>
      <c r="B4496" s="66" t="s">
        <v>9308</v>
      </c>
      <c r="C4496" s="83">
        <v>0</v>
      </c>
    </row>
    <row r="4497" spans="1:3" ht="31.5" x14ac:dyDescent="0.25">
      <c r="A4497" s="44" t="s">
        <v>9664</v>
      </c>
      <c r="B4497" s="66" t="s">
        <v>9310</v>
      </c>
      <c r="C4497" s="83">
        <v>629</v>
      </c>
    </row>
    <row r="4498" spans="1:3" ht="31.5" x14ac:dyDescent="0.25">
      <c r="A4498" s="44" t="s">
        <v>9665</v>
      </c>
      <c r="B4498" s="66" t="s">
        <v>9312</v>
      </c>
      <c r="C4498" s="83">
        <v>629</v>
      </c>
    </row>
    <row r="4499" spans="1:3" ht="31.5" x14ac:dyDescent="0.25">
      <c r="A4499" s="44" t="s">
        <v>9666</v>
      </c>
      <c r="B4499" s="66" t="s">
        <v>9314</v>
      </c>
      <c r="C4499" s="83">
        <v>629</v>
      </c>
    </row>
    <row r="4500" spans="1:3" x14ac:dyDescent="0.25">
      <c r="A4500" s="194" t="s">
        <v>9315</v>
      </c>
      <c r="B4500" s="144"/>
      <c r="C4500" s="87"/>
    </row>
    <row r="4501" spans="1:3" ht="18" x14ac:dyDescent="0.25">
      <c r="A4501" s="200"/>
      <c r="B4501" s="193" t="s">
        <v>9328</v>
      </c>
      <c r="C4501" s="224"/>
    </row>
    <row r="4502" spans="1:3" ht="47.25" x14ac:dyDescent="0.25">
      <c r="A4502" s="145" t="s">
        <v>9667</v>
      </c>
      <c r="B4502" s="66" t="s">
        <v>9332</v>
      </c>
      <c r="C4502" s="83">
        <v>459</v>
      </c>
    </row>
    <row r="4503" spans="1:3" x14ac:dyDescent="0.25">
      <c r="A4503" s="71"/>
      <c r="B4503" s="139"/>
      <c r="C4503" s="87"/>
    </row>
    <row r="4504" spans="1:3" ht="18" x14ac:dyDescent="0.25">
      <c r="A4504" s="218"/>
      <c r="B4504" s="219" t="s">
        <v>9320</v>
      </c>
      <c r="C4504" s="224"/>
    </row>
    <row r="4505" spans="1:3" ht="31.5" x14ac:dyDescent="0.25">
      <c r="A4505" s="127" t="s">
        <v>9668</v>
      </c>
      <c r="B4505" s="4" t="s">
        <v>9669</v>
      </c>
      <c r="C4505" s="83">
        <v>679</v>
      </c>
    </row>
    <row r="4506" spans="1:3" x14ac:dyDescent="0.25">
      <c r="A4506" s="71"/>
      <c r="B4506" s="139"/>
      <c r="C4506" s="87"/>
    </row>
    <row r="4507" spans="1:3" ht="18" x14ac:dyDescent="0.25">
      <c r="A4507" s="218"/>
      <c r="B4507" s="219" t="s">
        <v>9366</v>
      </c>
      <c r="C4507" s="224"/>
    </row>
    <row r="4508" spans="1:3" ht="47.25" x14ac:dyDescent="0.25">
      <c r="A4508" s="127" t="s">
        <v>9670</v>
      </c>
      <c r="B4508" s="66" t="s">
        <v>9368</v>
      </c>
      <c r="C4508" s="83">
        <v>249</v>
      </c>
    </row>
    <row r="4509" spans="1:3" x14ac:dyDescent="0.25">
      <c r="A4509" s="71"/>
      <c r="B4509" s="139"/>
      <c r="C4509" s="87"/>
    </row>
    <row r="4510" spans="1:3" ht="18" x14ac:dyDescent="0.25">
      <c r="A4510" s="218"/>
      <c r="B4510" s="219" t="s">
        <v>9347</v>
      </c>
      <c r="C4510" s="224"/>
    </row>
    <row r="4511" spans="1:3" ht="31.5" x14ac:dyDescent="0.25">
      <c r="A4511" s="127" t="s">
        <v>9671</v>
      </c>
      <c r="B4511" s="66" t="s">
        <v>9349</v>
      </c>
      <c r="C4511" s="83">
        <v>359</v>
      </c>
    </row>
    <row r="4512" spans="1:3" x14ac:dyDescent="0.25">
      <c r="A4512" s="128"/>
      <c r="B4512" s="72"/>
      <c r="C4512" s="87"/>
    </row>
    <row r="4513" spans="1:3" ht="18" x14ac:dyDescent="0.25">
      <c r="A4513" s="225"/>
      <c r="B4513" s="193" t="s">
        <v>9355</v>
      </c>
      <c r="C4513" s="224"/>
    </row>
    <row r="4514" spans="1:3" ht="47.25" x14ac:dyDescent="0.25">
      <c r="A4514" s="74" t="s">
        <v>9672</v>
      </c>
      <c r="B4514" s="66" t="s">
        <v>9673</v>
      </c>
      <c r="C4514" s="83">
        <v>329</v>
      </c>
    </row>
    <row r="4515" spans="1:3" x14ac:dyDescent="0.25">
      <c r="A4515" s="75"/>
      <c r="B4515" s="72"/>
      <c r="C4515" s="87"/>
    </row>
    <row r="4516" spans="1:3" ht="18" x14ac:dyDescent="0.25">
      <c r="A4516" s="218"/>
      <c r="B4516" s="219" t="s">
        <v>9674</v>
      </c>
      <c r="C4516" s="224"/>
    </row>
    <row r="4517" spans="1:3" ht="18" x14ac:dyDescent="0.25">
      <c r="A4517" s="218"/>
      <c r="B4517" s="219" t="s">
        <v>9421</v>
      </c>
      <c r="C4517" s="224"/>
    </row>
    <row r="4518" spans="1:3" ht="47.25" x14ac:dyDescent="0.25">
      <c r="A4518" s="127" t="s">
        <v>9675</v>
      </c>
      <c r="B4518" s="66" t="s">
        <v>9676</v>
      </c>
      <c r="C4518" s="83">
        <v>779</v>
      </c>
    </row>
    <row r="4519" spans="1:3" x14ac:dyDescent="0.25">
      <c r="A4519" s="71"/>
      <c r="B4519" s="139"/>
      <c r="C4519" s="87"/>
    </row>
    <row r="4520" spans="1:3" ht="18" x14ac:dyDescent="0.25">
      <c r="A4520" s="218"/>
      <c r="B4520" s="228" t="s">
        <v>9677</v>
      </c>
      <c r="C4520" s="224"/>
    </row>
    <row r="4521" spans="1:3" ht="78.75" x14ac:dyDescent="0.25">
      <c r="A4521" s="127" t="s">
        <v>9678</v>
      </c>
      <c r="B4521" s="137" t="s">
        <v>9679</v>
      </c>
      <c r="C4521" s="83">
        <v>369</v>
      </c>
    </row>
    <row r="4522" spans="1:3" ht="78.75" x14ac:dyDescent="0.25">
      <c r="A4522" s="127" t="s">
        <v>9680</v>
      </c>
      <c r="B4522" s="137" t="s">
        <v>9681</v>
      </c>
      <c r="C4522" s="83">
        <v>369</v>
      </c>
    </row>
    <row r="4523" spans="1:3" x14ac:dyDescent="0.25">
      <c r="B4523" s="133"/>
    </row>
    <row r="4524" spans="1:3" x14ac:dyDescent="0.25">
      <c r="A4524" s="71"/>
      <c r="B4524" s="139"/>
      <c r="C4524" s="86"/>
    </row>
    <row r="4525" spans="1:3" ht="36" x14ac:dyDescent="0.25">
      <c r="A4525" s="225" t="s">
        <v>9122</v>
      </c>
      <c r="B4525" s="228" t="s">
        <v>9682</v>
      </c>
      <c r="C4525" s="229"/>
    </row>
    <row r="4526" spans="1:3" ht="47.25" x14ac:dyDescent="0.25">
      <c r="A4526" s="127" t="s">
        <v>9683</v>
      </c>
      <c r="B4526" s="4" t="s">
        <v>9684</v>
      </c>
      <c r="C4526" s="83">
        <v>839</v>
      </c>
    </row>
    <row r="4527" spans="1:3" ht="47.25" x14ac:dyDescent="0.25">
      <c r="A4527" s="127" t="s">
        <v>9685</v>
      </c>
      <c r="B4527" s="4" t="s">
        <v>9686</v>
      </c>
      <c r="C4527" s="83">
        <v>799</v>
      </c>
    </row>
    <row r="4528" spans="1:3" ht="47.25" x14ac:dyDescent="0.25">
      <c r="A4528" s="127" t="s">
        <v>9687</v>
      </c>
      <c r="B4528" s="4" t="s">
        <v>9688</v>
      </c>
      <c r="C4528" s="83">
        <v>899</v>
      </c>
    </row>
    <row r="4529" spans="1:3" ht="47.25" x14ac:dyDescent="0.25">
      <c r="A4529" s="127" t="s">
        <v>9689</v>
      </c>
      <c r="B4529" s="4" t="s">
        <v>9690</v>
      </c>
      <c r="C4529" s="83">
        <v>819</v>
      </c>
    </row>
    <row r="4530" spans="1:3" ht="47.25" x14ac:dyDescent="0.25">
      <c r="A4530" s="127" t="s">
        <v>9691</v>
      </c>
      <c r="B4530" s="4" t="s">
        <v>9692</v>
      </c>
      <c r="C4530" s="83">
        <v>859</v>
      </c>
    </row>
    <row r="4531" spans="1:3" ht="47.25" x14ac:dyDescent="0.25">
      <c r="A4531" s="127" t="s">
        <v>9693</v>
      </c>
      <c r="B4531" s="4" t="s">
        <v>9694</v>
      </c>
      <c r="C4531" s="83">
        <v>819</v>
      </c>
    </row>
    <row r="4532" spans="1:3" ht="18" x14ac:dyDescent="0.25">
      <c r="A4532" s="225" t="s">
        <v>9136</v>
      </c>
      <c r="B4532" s="232"/>
      <c r="C4532" s="233"/>
    </row>
    <row r="4533" spans="1:3" ht="47.25" x14ac:dyDescent="0.25">
      <c r="A4533" s="127" t="s">
        <v>9695</v>
      </c>
      <c r="B4533" s="4" t="s">
        <v>9696</v>
      </c>
      <c r="C4533" s="83">
        <v>959</v>
      </c>
    </row>
    <row r="4534" spans="1:3" ht="63" x14ac:dyDescent="0.25">
      <c r="A4534" s="127" t="s">
        <v>9697</v>
      </c>
      <c r="B4534" s="4" t="s">
        <v>9698</v>
      </c>
      <c r="C4534" s="83">
        <v>1009</v>
      </c>
    </row>
    <row r="4535" spans="1:3" ht="63" x14ac:dyDescent="0.25">
      <c r="A4535" s="127" t="s">
        <v>9699</v>
      </c>
      <c r="B4535" s="4" t="s">
        <v>9700</v>
      </c>
      <c r="C4535" s="83">
        <v>969</v>
      </c>
    </row>
    <row r="4536" spans="1:3" ht="63" x14ac:dyDescent="0.25">
      <c r="A4536" s="127" t="s">
        <v>9701</v>
      </c>
      <c r="B4536" s="4" t="s">
        <v>9702</v>
      </c>
      <c r="C4536" s="83">
        <v>959</v>
      </c>
    </row>
    <row r="4537" spans="1:3" x14ac:dyDescent="0.25">
      <c r="A4537" s="71"/>
      <c r="B4537" s="147"/>
    </row>
    <row r="4538" spans="1:3" ht="36" x14ac:dyDescent="0.25">
      <c r="A4538" s="225" t="s">
        <v>9122</v>
      </c>
      <c r="B4538" s="228" t="s">
        <v>9149</v>
      </c>
      <c r="C4538" s="233"/>
    </row>
    <row r="4539" spans="1:3" ht="47.25" x14ac:dyDescent="0.25">
      <c r="A4539" s="127" t="s">
        <v>9703</v>
      </c>
      <c r="B4539" s="4" t="s">
        <v>9704</v>
      </c>
      <c r="C4539" s="83">
        <v>999</v>
      </c>
    </row>
    <row r="4540" spans="1:3" ht="47.25" x14ac:dyDescent="0.25">
      <c r="A4540" s="127" t="s">
        <v>9705</v>
      </c>
      <c r="B4540" s="4" t="s">
        <v>9706</v>
      </c>
      <c r="C4540" s="83">
        <v>959</v>
      </c>
    </row>
    <row r="4541" spans="1:3" ht="47.25" x14ac:dyDescent="0.25">
      <c r="A4541" s="127" t="s">
        <v>9707</v>
      </c>
      <c r="B4541" s="4" t="s">
        <v>9708</v>
      </c>
      <c r="C4541" s="83">
        <v>1049</v>
      </c>
    </row>
    <row r="4542" spans="1:3" ht="47.25" x14ac:dyDescent="0.25">
      <c r="A4542" s="127" t="s">
        <v>9709</v>
      </c>
      <c r="B4542" s="4" t="s">
        <v>9710</v>
      </c>
      <c r="C4542" s="83">
        <v>979</v>
      </c>
    </row>
    <row r="4543" spans="1:3" ht="47.25" x14ac:dyDescent="0.25">
      <c r="A4543" s="127" t="s">
        <v>9711</v>
      </c>
      <c r="B4543" s="4" t="s">
        <v>9712</v>
      </c>
      <c r="C4543" s="83">
        <v>1009</v>
      </c>
    </row>
    <row r="4544" spans="1:3" ht="47.25" x14ac:dyDescent="0.25">
      <c r="A4544" s="127" t="s">
        <v>9713</v>
      </c>
      <c r="B4544" s="4" t="s">
        <v>9714</v>
      </c>
      <c r="C4544" s="83">
        <v>969</v>
      </c>
    </row>
    <row r="4545" spans="1:3" ht="18" x14ac:dyDescent="0.25">
      <c r="A4545" s="225" t="s">
        <v>9162</v>
      </c>
      <c r="B4545" s="232"/>
      <c r="C4545" s="233"/>
    </row>
    <row r="4546" spans="1:3" ht="47.25" x14ac:dyDescent="0.25">
      <c r="A4546" s="127" t="s">
        <v>9715</v>
      </c>
      <c r="B4546" s="4" t="s">
        <v>9716</v>
      </c>
      <c r="C4546" s="83">
        <v>1099</v>
      </c>
    </row>
    <row r="4547" spans="1:3" ht="47.25" x14ac:dyDescent="0.25">
      <c r="A4547" s="127" t="s">
        <v>9717</v>
      </c>
      <c r="B4547" s="4" t="s">
        <v>9718</v>
      </c>
      <c r="C4547" s="83">
        <v>1059</v>
      </c>
    </row>
    <row r="4548" spans="1:3" ht="63" x14ac:dyDescent="0.25">
      <c r="A4548" s="127" t="s">
        <v>9719</v>
      </c>
      <c r="B4548" s="4" t="s">
        <v>9720</v>
      </c>
      <c r="C4548" s="83">
        <v>1149</v>
      </c>
    </row>
    <row r="4549" spans="1:3" ht="63" x14ac:dyDescent="0.25">
      <c r="A4549" s="127" t="s">
        <v>9721</v>
      </c>
      <c r="B4549" s="4" t="s">
        <v>9722</v>
      </c>
      <c r="C4549" s="83">
        <v>1109</v>
      </c>
    </row>
    <row r="4550" spans="1:3" ht="63" x14ac:dyDescent="0.25">
      <c r="A4550" s="127" t="s">
        <v>9723</v>
      </c>
      <c r="B4550" s="4" t="s">
        <v>9724</v>
      </c>
      <c r="C4550" s="83">
        <v>1139</v>
      </c>
    </row>
    <row r="4551" spans="1:3" ht="63" x14ac:dyDescent="0.25">
      <c r="A4551" s="127" t="s">
        <v>9725</v>
      </c>
      <c r="B4551" s="4" t="s">
        <v>9726</v>
      </c>
      <c r="C4551" s="83">
        <v>1099</v>
      </c>
    </row>
    <row r="4552" spans="1:3" x14ac:dyDescent="0.25">
      <c r="A4552" s="71"/>
      <c r="B4552" s="147"/>
    </row>
    <row r="4553" spans="1:3" ht="36" x14ac:dyDescent="0.25">
      <c r="A4553" s="225" t="s">
        <v>9122</v>
      </c>
      <c r="B4553" s="228" t="s">
        <v>9175</v>
      </c>
      <c r="C4553" s="233"/>
    </row>
    <row r="4554" spans="1:3" ht="47.25" x14ac:dyDescent="0.25">
      <c r="A4554" s="127" t="s">
        <v>9727</v>
      </c>
      <c r="B4554" s="4" t="s">
        <v>9728</v>
      </c>
      <c r="C4554" s="83">
        <v>999</v>
      </c>
    </row>
    <row r="4555" spans="1:3" ht="47.25" x14ac:dyDescent="0.25">
      <c r="A4555" s="127" t="s">
        <v>9729</v>
      </c>
      <c r="B4555" s="4" t="s">
        <v>9730</v>
      </c>
      <c r="C4555" s="83">
        <v>959</v>
      </c>
    </row>
    <row r="4556" spans="1:3" ht="47.25" x14ac:dyDescent="0.25">
      <c r="A4556" s="127" t="s">
        <v>9731</v>
      </c>
      <c r="B4556" s="4" t="s">
        <v>9732</v>
      </c>
      <c r="C4556" s="83">
        <v>1049</v>
      </c>
    </row>
    <row r="4557" spans="1:3" ht="47.25" x14ac:dyDescent="0.25">
      <c r="A4557" s="127" t="s">
        <v>9733</v>
      </c>
      <c r="B4557" s="4" t="s">
        <v>9734</v>
      </c>
      <c r="C4557" s="83">
        <v>979</v>
      </c>
    </row>
    <row r="4558" spans="1:3" ht="47.25" x14ac:dyDescent="0.25">
      <c r="A4558" s="127" t="s">
        <v>9735</v>
      </c>
      <c r="B4558" s="4" t="s">
        <v>9736</v>
      </c>
      <c r="C4558" s="83">
        <v>1009</v>
      </c>
    </row>
    <row r="4559" spans="1:3" ht="47.25" x14ac:dyDescent="0.25">
      <c r="A4559" s="127" t="s">
        <v>9737</v>
      </c>
      <c r="B4559" s="4" t="s">
        <v>9738</v>
      </c>
      <c r="C4559" s="83">
        <v>969</v>
      </c>
    </row>
    <row r="4560" spans="1:3" ht="18" x14ac:dyDescent="0.25">
      <c r="A4560" s="225" t="s">
        <v>9162</v>
      </c>
      <c r="B4560" s="232"/>
      <c r="C4560" s="233"/>
    </row>
    <row r="4561" spans="1:3" ht="47.25" x14ac:dyDescent="0.25">
      <c r="A4561" s="127" t="s">
        <v>9739</v>
      </c>
      <c r="B4561" s="4" t="s">
        <v>9740</v>
      </c>
      <c r="C4561" s="83">
        <v>1099</v>
      </c>
    </row>
    <row r="4562" spans="1:3" ht="47.25" x14ac:dyDescent="0.25">
      <c r="A4562" s="127" t="s">
        <v>9741</v>
      </c>
      <c r="B4562" s="4" t="s">
        <v>9742</v>
      </c>
      <c r="C4562" s="83">
        <v>1059</v>
      </c>
    </row>
    <row r="4563" spans="1:3" ht="63" x14ac:dyDescent="0.25">
      <c r="A4563" s="127" t="s">
        <v>9743</v>
      </c>
      <c r="B4563" s="4" t="s">
        <v>9744</v>
      </c>
      <c r="C4563" s="83">
        <v>1149</v>
      </c>
    </row>
    <row r="4564" spans="1:3" ht="63" x14ac:dyDescent="0.25">
      <c r="A4564" s="127" t="s">
        <v>9745</v>
      </c>
      <c r="B4564" s="4" t="s">
        <v>9746</v>
      </c>
      <c r="C4564" s="83">
        <v>1109</v>
      </c>
    </row>
    <row r="4565" spans="1:3" ht="63" x14ac:dyDescent="0.25">
      <c r="A4565" s="127" t="s">
        <v>9747</v>
      </c>
      <c r="B4565" s="4" t="s">
        <v>9748</v>
      </c>
      <c r="C4565" s="83">
        <v>1139</v>
      </c>
    </row>
    <row r="4566" spans="1:3" ht="63" x14ac:dyDescent="0.25">
      <c r="A4566" s="127" t="s">
        <v>9749</v>
      </c>
      <c r="B4566" s="4" t="s">
        <v>9750</v>
      </c>
      <c r="C4566" s="83">
        <v>1099</v>
      </c>
    </row>
    <row r="4567" spans="1:3" x14ac:dyDescent="0.25">
      <c r="A4567" s="194" t="s">
        <v>9199</v>
      </c>
      <c r="B4567" s="147"/>
    </row>
    <row r="4568" spans="1:3" x14ac:dyDescent="0.25">
      <c r="A4568" s="69"/>
      <c r="B4568" s="147"/>
    </row>
    <row r="4569" spans="1:3" ht="54" x14ac:dyDescent="0.25">
      <c r="A4569" s="218"/>
      <c r="B4569" s="219" t="s">
        <v>9751</v>
      </c>
      <c r="C4569" s="233"/>
    </row>
    <row r="4570" spans="1:3" ht="78.75" x14ac:dyDescent="0.25">
      <c r="A4570" s="127" t="s">
        <v>9752</v>
      </c>
      <c r="B4570" s="4" t="s">
        <v>9753</v>
      </c>
      <c r="C4570" s="83">
        <v>1279</v>
      </c>
    </row>
    <row r="4571" spans="1:3" ht="78.75" x14ac:dyDescent="0.25">
      <c r="A4571" s="127" t="s">
        <v>9754</v>
      </c>
      <c r="B4571" s="4" t="s">
        <v>9755</v>
      </c>
      <c r="C4571" s="83">
        <v>1279</v>
      </c>
    </row>
    <row r="4572" spans="1:3" x14ac:dyDescent="0.25">
      <c r="A4572" s="71"/>
      <c r="B4572" s="147"/>
    </row>
    <row r="4573" spans="1:3" ht="36" x14ac:dyDescent="0.25">
      <c r="A4573" s="186" t="s">
        <v>9217</v>
      </c>
      <c r="B4573" s="193" t="s">
        <v>9218</v>
      </c>
      <c r="C4573" s="224"/>
    </row>
    <row r="4574" spans="1:3" ht="63" x14ac:dyDescent="0.25">
      <c r="A4574" s="127" t="s">
        <v>9756</v>
      </c>
      <c r="B4574" s="66" t="s">
        <v>9757</v>
      </c>
      <c r="C4574" s="83">
        <v>599</v>
      </c>
    </row>
    <row r="4575" spans="1:3" ht="63" x14ac:dyDescent="0.25">
      <c r="A4575" s="127" t="s">
        <v>9758</v>
      </c>
      <c r="B4575" s="66" t="s">
        <v>9759</v>
      </c>
      <c r="C4575" s="83">
        <v>599</v>
      </c>
    </row>
    <row r="4576" spans="1:3" ht="63" x14ac:dyDescent="0.25">
      <c r="A4576" s="127" t="s">
        <v>9760</v>
      </c>
      <c r="B4576" s="66" t="s">
        <v>9761</v>
      </c>
      <c r="C4576" s="83">
        <v>599</v>
      </c>
    </row>
    <row r="4577" spans="1:3" x14ac:dyDescent="0.25">
      <c r="A4577" s="71"/>
      <c r="B4577" s="147"/>
    </row>
    <row r="4578" spans="1:3" ht="18" x14ac:dyDescent="0.25">
      <c r="A4578" s="218"/>
      <c r="B4578" s="208" t="s">
        <v>9628</v>
      </c>
      <c r="C4578" s="233"/>
    </row>
    <row r="4579" spans="1:3" ht="18" x14ac:dyDescent="0.25">
      <c r="A4579" s="231" t="s">
        <v>9762</v>
      </c>
      <c r="B4579" s="208" t="s">
        <v>9763</v>
      </c>
      <c r="C4579" s="233"/>
    </row>
    <row r="4580" spans="1:3" ht="126" x14ac:dyDescent="0.25">
      <c r="A4580" s="127" t="s">
        <v>9764</v>
      </c>
      <c r="B4580" s="4" t="s">
        <v>9765</v>
      </c>
      <c r="C4580" s="83">
        <v>689</v>
      </c>
    </row>
    <row r="4581" spans="1:3" ht="126" x14ac:dyDescent="0.25">
      <c r="A4581" s="127" t="s">
        <v>9766</v>
      </c>
      <c r="B4581" s="4" t="s">
        <v>9767</v>
      </c>
      <c r="C4581" s="83">
        <v>659</v>
      </c>
    </row>
    <row r="4582" spans="1:3" ht="126" x14ac:dyDescent="0.25">
      <c r="A4582" s="127" t="s">
        <v>9768</v>
      </c>
      <c r="B4582" s="4" t="s">
        <v>9769</v>
      </c>
      <c r="C4582" s="83">
        <v>689</v>
      </c>
    </row>
    <row r="4583" spans="1:3" ht="126" x14ac:dyDescent="0.25">
      <c r="A4583" s="127" t="s">
        <v>9770</v>
      </c>
      <c r="B4583" s="4" t="s">
        <v>9771</v>
      </c>
      <c r="C4583" s="83">
        <v>659</v>
      </c>
    </row>
    <row r="4584" spans="1:3" ht="18" x14ac:dyDescent="0.25">
      <c r="A4584" s="225" t="s">
        <v>9772</v>
      </c>
      <c r="B4584" s="232"/>
      <c r="C4584" s="233"/>
    </row>
    <row r="4585" spans="1:3" ht="126" x14ac:dyDescent="0.25">
      <c r="A4585" s="127" t="s">
        <v>9773</v>
      </c>
      <c r="B4585" s="4" t="s">
        <v>9774</v>
      </c>
      <c r="C4585" s="83">
        <v>759</v>
      </c>
    </row>
    <row r="4586" spans="1:3" ht="126" x14ac:dyDescent="0.25">
      <c r="A4586" s="127" t="s">
        <v>9775</v>
      </c>
      <c r="B4586" s="4" t="s">
        <v>9776</v>
      </c>
      <c r="C4586" s="83">
        <v>609</v>
      </c>
    </row>
    <row r="4587" spans="1:3" x14ac:dyDescent="0.25">
      <c r="A4587" s="71"/>
      <c r="B4587" s="147"/>
    </row>
    <row r="4588" spans="1:3" ht="18" x14ac:dyDescent="0.25">
      <c r="A4588" s="213"/>
      <c r="B4588" s="219" t="s">
        <v>9246</v>
      </c>
      <c r="C4588" s="234"/>
    </row>
    <row r="4589" spans="1:3" ht="47.25" x14ac:dyDescent="0.25">
      <c r="A4589" s="127" t="s">
        <v>9777</v>
      </c>
      <c r="B4589" s="4" t="s">
        <v>9248</v>
      </c>
      <c r="C4589" s="83">
        <v>579</v>
      </c>
    </row>
    <row r="4590" spans="1:3" ht="78.75" x14ac:dyDescent="0.25">
      <c r="A4590" s="127" t="s">
        <v>9778</v>
      </c>
      <c r="B4590" s="4" t="s">
        <v>15587</v>
      </c>
      <c r="C4590" s="83">
        <v>959</v>
      </c>
    </row>
    <row r="4591" spans="1:3" ht="47.25" x14ac:dyDescent="0.25">
      <c r="A4591" s="127" t="s">
        <v>9779</v>
      </c>
      <c r="B4591" s="4" t="s">
        <v>9250</v>
      </c>
      <c r="C4591" s="83">
        <v>579</v>
      </c>
    </row>
    <row r="4592" spans="1:3" x14ac:dyDescent="0.25">
      <c r="A4592" s="71"/>
      <c r="B4592" s="147"/>
    </row>
    <row r="4593" spans="1:3" ht="54" x14ac:dyDescent="0.25">
      <c r="A4593" s="218"/>
      <c r="B4593" s="219" t="s">
        <v>9252</v>
      </c>
      <c r="C4593" s="233"/>
    </row>
    <row r="4594" spans="1:3" ht="31.5" x14ac:dyDescent="0.25">
      <c r="A4594" s="127" t="s">
        <v>9780</v>
      </c>
      <c r="B4594" s="4" t="s">
        <v>9254</v>
      </c>
      <c r="C4594" s="83">
        <v>949</v>
      </c>
    </row>
    <row r="4595" spans="1:3" ht="31.5" x14ac:dyDescent="0.25">
      <c r="A4595" s="127" t="s">
        <v>9781</v>
      </c>
      <c r="B4595" s="4" t="s">
        <v>9256</v>
      </c>
      <c r="C4595" s="83">
        <v>949</v>
      </c>
    </row>
    <row r="4596" spans="1:3" ht="31.5" x14ac:dyDescent="0.25">
      <c r="A4596" s="127" t="s">
        <v>9782</v>
      </c>
      <c r="B4596" s="4" t="s">
        <v>9258</v>
      </c>
      <c r="C4596" s="83">
        <v>1029</v>
      </c>
    </row>
    <row r="4597" spans="1:3" x14ac:dyDescent="0.25">
      <c r="A4597" s="211"/>
      <c r="B4597" s="235" t="s">
        <v>9783</v>
      </c>
    </row>
    <row r="4598" spans="1:3" x14ac:dyDescent="0.25">
      <c r="A4598" s="71"/>
      <c r="B4598" s="147"/>
    </row>
    <row r="4599" spans="1:3" ht="54" x14ac:dyDescent="0.25">
      <c r="A4599" s="218"/>
      <c r="B4599" s="219" t="s">
        <v>9259</v>
      </c>
      <c r="C4599" s="233"/>
    </row>
    <row r="4600" spans="1:3" ht="31.5" x14ac:dyDescent="0.25">
      <c r="A4600" s="127" t="s">
        <v>9784</v>
      </c>
      <c r="B4600" s="148" t="s">
        <v>9261</v>
      </c>
      <c r="C4600" s="83">
        <v>1179</v>
      </c>
    </row>
    <row r="4601" spans="1:3" ht="31.5" x14ac:dyDescent="0.25">
      <c r="A4601" s="127" t="s">
        <v>9785</v>
      </c>
      <c r="B4601" s="148" t="s">
        <v>9786</v>
      </c>
      <c r="C4601" s="83">
        <v>1179</v>
      </c>
    </row>
    <row r="4602" spans="1:3" ht="31.5" x14ac:dyDescent="0.25">
      <c r="A4602" s="127" t="s">
        <v>9787</v>
      </c>
      <c r="B4602" s="148" t="s">
        <v>9265</v>
      </c>
      <c r="C4602" s="83">
        <v>1339</v>
      </c>
    </row>
    <row r="4603" spans="1:3" x14ac:dyDescent="0.25">
      <c r="A4603" s="71"/>
      <c r="B4603" s="235" t="s">
        <v>9788</v>
      </c>
    </row>
    <row r="4604" spans="1:3" x14ac:dyDescent="0.25">
      <c r="A4604" s="71"/>
      <c r="B4604" s="144"/>
    </row>
    <row r="4605" spans="1:3" ht="54" x14ac:dyDescent="0.25">
      <c r="A4605" s="200"/>
      <c r="B4605" s="193" t="s">
        <v>9266</v>
      </c>
      <c r="C4605" s="233"/>
    </row>
    <row r="4606" spans="1:3" ht="31.5" x14ac:dyDescent="0.25">
      <c r="A4606" s="44" t="s">
        <v>9789</v>
      </c>
      <c r="B4606" s="66" t="s">
        <v>9268</v>
      </c>
      <c r="C4606" s="83">
        <v>1459</v>
      </c>
    </row>
    <row r="4607" spans="1:3" ht="31.5" x14ac:dyDescent="0.25">
      <c r="A4607" s="44" t="s">
        <v>9790</v>
      </c>
      <c r="B4607" s="66" t="s">
        <v>9270</v>
      </c>
      <c r="C4607" s="83">
        <v>1459</v>
      </c>
    </row>
    <row r="4608" spans="1:3" ht="31.5" x14ac:dyDescent="0.25">
      <c r="A4608" s="44" t="s">
        <v>9791</v>
      </c>
      <c r="B4608" s="66" t="s">
        <v>9272</v>
      </c>
      <c r="C4608" s="83">
        <v>1689</v>
      </c>
    </row>
    <row r="4609" spans="1:3" x14ac:dyDescent="0.25">
      <c r="A4609" s="71"/>
      <c r="B4609" s="144"/>
    </row>
    <row r="4610" spans="1:3" x14ac:dyDescent="0.25">
      <c r="A4610" s="126"/>
      <c r="B4610" s="198" t="s">
        <v>9273</v>
      </c>
    </row>
    <row r="4611" spans="1:3" ht="36" x14ac:dyDescent="0.25">
      <c r="A4611" s="202"/>
      <c r="B4611" s="193" t="s">
        <v>15799</v>
      </c>
      <c r="C4611" s="233"/>
    </row>
    <row r="4612" spans="1:3" ht="31.5" x14ac:dyDescent="0.25">
      <c r="A4612" s="44" t="s">
        <v>9792</v>
      </c>
      <c r="B4612" s="66" t="s">
        <v>9275</v>
      </c>
      <c r="C4612" s="83">
        <v>609</v>
      </c>
    </row>
    <row r="4613" spans="1:3" ht="31.5" x14ac:dyDescent="0.25">
      <c r="A4613" s="44" t="s">
        <v>9793</v>
      </c>
      <c r="B4613" s="66" t="s">
        <v>9277</v>
      </c>
      <c r="C4613" s="83">
        <v>609</v>
      </c>
    </row>
    <row r="4614" spans="1:3" ht="31.5" x14ac:dyDescent="0.25">
      <c r="A4614" s="44" t="s">
        <v>9794</v>
      </c>
      <c r="B4614" s="66" t="s">
        <v>9279</v>
      </c>
      <c r="C4614" s="83">
        <v>609</v>
      </c>
    </row>
    <row r="4615" spans="1:3" ht="31.5" x14ac:dyDescent="0.25">
      <c r="A4615" s="44" t="s">
        <v>9795</v>
      </c>
      <c r="B4615" s="66" t="s">
        <v>9281</v>
      </c>
      <c r="C4615" s="83">
        <v>609</v>
      </c>
    </row>
    <row r="4616" spans="1:3" ht="31.5" x14ac:dyDescent="0.25">
      <c r="A4616" s="44" t="s">
        <v>9796</v>
      </c>
      <c r="B4616" s="66" t="s">
        <v>9283</v>
      </c>
      <c r="C4616" s="83">
        <v>609</v>
      </c>
    </row>
    <row r="4617" spans="1:3" ht="31.5" x14ac:dyDescent="0.25">
      <c r="A4617" s="44" t="s">
        <v>9797</v>
      </c>
      <c r="B4617" s="66" t="s">
        <v>9285</v>
      </c>
      <c r="C4617" s="83">
        <v>609</v>
      </c>
    </row>
    <row r="4618" spans="1:3" ht="31.5" x14ac:dyDescent="0.25">
      <c r="A4618" s="44" t="s">
        <v>9798</v>
      </c>
      <c r="B4618" s="66" t="s">
        <v>9287</v>
      </c>
      <c r="C4618" s="83">
        <v>609</v>
      </c>
    </row>
    <row r="4619" spans="1:3" x14ac:dyDescent="0.25">
      <c r="A4619" s="126"/>
      <c r="B4619" s="198" t="s">
        <v>9251</v>
      </c>
    </row>
    <row r="4620" spans="1:3" x14ac:dyDescent="0.25">
      <c r="A4620" s="126"/>
      <c r="B4620" s="68"/>
    </row>
    <row r="4621" spans="1:3" ht="18" x14ac:dyDescent="0.25">
      <c r="A4621" s="205"/>
      <c r="B4621" s="202" t="s">
        <v>9273</v>
      </c>
      <c r="C4621" s="233"/>
    </row>
    <row r="4622" spans="1:3" ht="36" x14ac:dyDescent="0.25">
      <c r="A4622" s="202"/>
      <c r="B4622" s="193" t="s">
        <v>15800</v>
      </c>
      <c r="C4622" s="233"/>
    </row>
    <row r="4623" spans="1:3" ht="31.5" x14ac:dyDescent="0.25">
      <c r="A4623" s="44" t="s">
        <v>9799</v>
      </c>
      <c r="B4623" s="66" t="s">
        <v>9289</v>
      </c>
      <c r="C4623" s="83">
        <v>619</v>
      </c>
    </row>
    <row r="4624" spans="1:3" ht="31.5" x14ac:dyDescent="0.25">
      <c r="A4624" s="44" t="s">
        <v>9800</v>
      </c>
      <c r="B4624" s="66" t="s">
        <v>9291</v>
      </c>
      <c r="C4624" s="83">
        <v>619</v>
      </c>
    </row>
    <row r="4625" spans="1:3" ht="31.5" x14ac:dyDescent="0.25">
      <c r="A4625" s="44" t="s">
        <v>9801</v>
      </c>
      <c r="B4625" s="66" t="s">
        <v>9293</v>
      </c>
      <c r="C4625" s="83">
        <v>619</v>
      </c>
    </row>
    <row r="4626" spans="1:3" ht="31.5" x14ac:dyDescent="0.25">
      <c r="A4626" s="44" t="s">
        <v>9802</v>
      </c>
      <c r="B4626" s="66" t="s">
        <v>9295</v>
      </c>
      <c r="C4626" s="83">
        <v>619</v>
      </c>
    </row>
    <row r="4627" spans="1:3" ht="31.5" x14ac:dyDescent="0.25">
      <c r="A4627" s="44" t="s">
        <v>9803</v>
      </c>
      <c r="B4627" s="66" t="s">
        <v>9297</v>
      </c>
      <c r="C4627" s="83">
        <v>619</v>
      </c>
    </row>
    <row r="4628" spans="1:3" ht="31.5" x14ac:dyDescent="0.25">
      <c r="A4628" s="44" t="s">
        <v>9804</v>
      </c>
      <c r="B4628" s="66" t="s">
        <v>9299</v>
      </c>
      <c r="C4628" s="83">
        <v>619</v>
      </c>
    </row>
    <row r="4629" spans="1:3" ht="31.5" x14ac:dyDescent="0.25">
      <c r="A4629" s="44" t="s">
        <v>9805</v>
      </c>
      <c r="B4629" s="66" t="s">
        <v>9301</v>
      </c>
      <c r="C4629" s="83">
        <v>619</v>
      </c>
    </row>
    <row r="4630" spans="1:3" x14ac:dyDescent="0.25">
      <c r="A4630" s="126"/>
      <c r="B4630" s="198" t="s">
        <v>9251</v>
      </c>
    </row>
    <row r="4631" spans="1:3" x14ac:dyDescent="0.25">
      <c r="A4631" s="126"/>
      <c r="B4631" s="68"/>
    </row>
    <row r="4632" spans="1:3" ht="18" x14ac:dyDescent="0.25">
      <c r="A4632" s="205"/>
      <c r="B4632" s="202" t="s">
        <v>9273</v>
      </c>
      <c r="C4632" s="233"/>
    </row>
    <row r="4633" spans="1:3" ht="36" x14ac:dyDescent="0.25">
      <c r="A4633" s="202"/>
      <c r="B4633" s="193" t="s">
        <v>15801</v>
      </c>
      <c r="C4633" s="233"/>
    </row>
    <row r="4634" spans="1:3" ht="31.5" x14ac:dyDescent="0.25">
      <c r="A4634" s="44" t="s">
        <v>9806</v>
      </c>
      <c r="B4634" s="66" t="s">
        <v>9303</v>
      </c>
      <c r="C4634" s="83">
        <v>629</v>
      </c>
    </row>
    <row r="4635" spans="1:3" ht="31.5" x14ac:dyDescent="0.25">
      <c r="A4635" s="44" t="s">
        <v>9304</v>
      </c>
      <c r="B4635" s="66" t="s">
        <v>9305</v>
      </c>
      <c r="C4635" s="83">
        <v>0</v>
      </c>
    </row>
    <row r="4636" spans="1:3" ht="31.5" x14ac:dyDescent="0.25">
      <c r="A4636" s="44" t="s">
        <v>9807</v>
      </c>
      <c r="B4636" s="66" t="s">
        <v>9307</v>
      </c>
      <c r="C4636" s="83">
        <v>629</v>
      </c>
    </row>
    <row r="4637" spans="1:3" ht="31.5" x14ac:dyDescent="0.25">
      <c r="A4637" s="44" t="s">
        <v>9304</v>
      </c>
      <c r="B4637" s="66" t="s">
        <v>9308</v>
      </c>
      <c r="C4637" s="83">
        <v>0</v>
      </c>
    </row>
    <row r="4638" spans="1:3" ht="31.5" x14ac:dyDescent="0.25">
      <c r="A4638" s="44" t="s">
        <v>9808</v>
      </c>
      <c r="B4638" s="66" t="s">
        <v>9310</v>
      </c>
      <c r="C4638" s="83">
        <v>629</v>
      </c>
    </row>
    <row r="4639" spans="1:3" ht="31.5" x14ac:dyDescent="0.25">
      <c r="A4639" s="44" t="s">
        <v>9809</v>
      </c>
      <c r="B4639" s="66" t="s">
        <v>9312</v>
      </c>
      <c r="C4639" s="83">
        <v>629</v>
      </c>
    </row>
    <row r="4640" spans="1:3" ht="31.5" x14ac:dyDescent="0.25">
      <c r="A4640" s="44" t="s">
        <v>9810</v>
      </c>
      <c r="B4640" s="66" t="s">
        <v>9314</v>
      </c>
      <c r="C4640" s="83">
        <v>629</v>
      </c>
    </row>
    <row r="4641" spans="1:3" x14ac:dyDescent="0.25">
      <c r="A4641" s="194" t="s">
        <v>9315</v>
      </c>
      <c r="B4641" s="147"/>
    </row>
    <row r="4642" spans="1:3" x14ac:dyDescent="0.25">
      <c r="A4642" s="69"/>
      <c r="B4642" s="147"/>
    </row>
    <row r="4643" spans="1:3" x14ac:dyDescent="0.25">
      <c r="A4643" s="71"/>
      <c r="B4643" s="235" t="s">
        <v>9811</v>
      </c>
    </row>
    <row r="4644" spans="1:3" ht="18" x14ac:dyDescent="0.25">
      <c r="A4644" s="218"/>
      <c r="B4644" s="219" t="s">
        <v>9320</v>
      </c>
    </row>
    <row r="4645" spans="1:3" ht="47.25" x14ac:dyDescent="0.25">
      <c r="A4645" s="127" t="s">
        <v>9812</v>
      </c>
      <c r="B4645" s="4" t="s">
        <v>9322</v>
      </c>
      <c r="C4645" s="83">
        <v>679</v>
      </c>
    </row>
    <row r="4646" spans="1:3" x14ac:dyDescent="0.25">
      <c r="A4646" s="128"/>
      <c r="B4646" s="73"/>
    </row>
    <row r="4647" spans="1:3" x14ac:dyDescent="0.25">
      <c r="A4647" s="71"/>
      <c r="B4647" s="235" t="s">
        <v>9813</v>
      </c>
    </row>
    <row r="4648" spans="1:3" ht="18" x14ac:dyDescent="0.25">
      <c r="A4648" s="218"/>
      <c r="B4648" s="219" t="s">
        <v>9328</v>
      </c>
      <c r="C4648" s="233"/>
    </row>
    <row r="4649" spans="1:3" ht="47.25" x14ac:dyDescent="0.25">
      <c r="A4649" s="127" t="s">
        <v>9814</v>
      </c>
      <c r="B4649" s="4" t="s">
        <v>9332</v>
      </c>
      <c r="C4649" s="83">
        <v>459</v>
      </c>
    </row>
    <row r="4650" spans="1:3" x14ac:dyDescent="0.25">
      <c r="A4650" s="128"/>
      <c r="B4650" s="73"/>
    </row>
    <row r="4651" spans="1:3" x14ac:dyDescent="0.25">
      <c r="A4651" s="128"/>
      <c r="B4651" s="235" t="s">
        <v>9815</v>
      </c>
    </row>
    <row r="4652" spans="1:3" ht="18" x14ac:dyDescent="0.25">
      <c r="A4652" s="200"/>
      <c r="B4652" s="193" t="s">
        <v>9320</v>
      </c>
      <c r="C4652" s="233"/>
    </row>
    <row r="4653" spans="1:3" ht="47.25" x14ac:dyDescent="0.25">
      <c r="A4653" s="44" t="s">
        <v>9816</v>
      </c>
      <c r="B4653" s="66" t="s">
        <v>9322</v>
      </c>
      <c r="C4653" s="83">
        <v>679</v>
      </c>
    </row>
    <row r="4654" spans="1:3" ht="47.25" x14ac:dyDescent="0.25">
      <c r="A4654" s="44" t="s">
        <v>9817</v>
      </c>
      <c r="B4654" s="66" t="s">
        <v>9324</v>
      </c>
      <c r="C4654" s="83">
        <v>699</v>
      </c>
    </row>
    <row r="4655" spans="1:3" ht="47.25" x14ac:dyDescent="0.25">
      <c r="A4655" s="44" t="s">
        <v>9818</v>
      </c>
      <c r="B4655" s="66" t="s">
        <v>9326</v>
      </c>
      <c r="C4655" s="83">
        <v>699</v>
      </c>
    </row>
    <row r="4656" spans="1:3" x14ac:dyDescent="0.25">
      <c r="A4656" s="129"/>
      <c r="B4656" s="72"/>
    </row>
    <row r="4657" spans="1:3" x14ac:dyDescent="0.25">
      <c r="A4657" s="65"/>
      <c r="B4657" s="235" t="s">
        <v>9819</v>
      </c>
    </row>
    <row r="4658" spans="1:3" ht="18" x14ac:dyDescent="0.25">
      <c r="A4658" s="200"/>
      <c r="B4658" s="193" t="s">
        <v>9328</v>
      </c>
      <c r="C4658" s="233"/>
    </row>
    <row r="4659" spans="1:3" ht="47.25" x14ac:dyDescent="0.25">
      <c r="A4659" s="44" t="s">
        <v>9820</v>
      </c>
      <c r="B4659" s="66" t="s">
        <v>9332</v>
      </c>
      <c r="C4659" s="83">
        <v>459</v>
      </c>
    </row>
    <row r="4660" spans="1:3" ht="63" x14ac:dyDescent="0.25">
      <c r="A4660" s="44" t="s">
        <v>9821</v>
      </c>
      <c r="B4660" s="66" t="s">
        <v>9334</v>
      </c>
      <c r="C4660" s="83">
        <v>929</v>
      </c>
    </row>
    <row r="4661" spans="1:3" ht="63" x14ac:dyDescent="0.25">
      <c r="A4661" s="44" t="s">
        <v>9822</v>
      </c>
      <c r="B4661" s="66" t="s">
        <v>9336</v>
      </c>
      <c r="C4661" s="83">
        <v>929</v>
      </c>
    </row>
    <row r="4662" spans="1:3" x14ac:dyDescent="0.25">
      <c r="A4662" s="129"/>
      <c r="B4662" s="72"/>
    </row>
    <row r="4663" spans="1:3" x14ac:dyDescent="0.25">
      <c r="A4663" s="71"/>
      <c r="B4663" s="235" t="s">
        <v>9823</v>
      </c>
    </row>
    <row r="4664" spans="1:3" ht="36" x14ac:dyDescent="0.25">
      <c r="A4664" s="218"/>
      <c r="B4664" s="219" t="s">
        <v>9824</v>
      </c>
      <c r="C4664" s="233"/>
    </row>
    <row r="4665" spans="1:3" ht="31.5" x14ac:dyDescent="0.25">
      <c r="A4665" s="127" t="s">
        <v>9825</v>
      </c>
      <c r="B4665" s="4" t="s">
        <v>9826</v>
      </c>
      <c r="C4665" s="83">
        <v>359</v>
      </c>
    </row>
    <row r="4666" spans="1:3" ht="31.5" x14ac:dyDescent="0.25">
      <c r="A4666" s="127" t="s">
        <v>9827</v>
      </c>
      <c r="B4666" s="4" t="s">
        <v>9828</v>
      </c>
      <c r="C4666" s="83">
        <v>409</v>
      </c>
    </row>
    <row r="4667" spans="1:3" ht="31.5" x14ac:dyDescent="0.25">
      <c r="A4667" s="127" t="s">
        <v>9829</v>
      </c>
      <c r="B4667" s="4" t="s">
        <v>9830</v>
      </c>
      <c r="C4667" s="83">
        <v>329</v>
      </c>
    </row>
    <row r="4668" spans="1:3" x14ac:dyDescent="0.25">
      <c r="A4668" s="71"/>
      <c r="B4668" s="147"/>
    </row>
    <row r="4669" spans="1:3" ht="18" x14ac:dyDescent="0.25">
      <c r="A4669" s="218"/>
      <c r="B4669" s="219" t="s">
        <v>9366</v>
      </c>
      <c r="C4669" s="233"/>
    </row>
    <row r="4670" spans="1:3" ht="47.25" x14ac:dyDescent="0.25">
      <c r="A4670" s="127" t="s">
        <v>9831</v>
      </c>
      <c r="B4670" s="4" t="s">
        <v>9832</v>
      </c>
      <c r="C4670" s="83">
        <v>249</v>
      </c>
    </row>
    <row r="4671" spans="1:3" x14ac:dyDescent="0.25">
      <c r="A4671" s="71"/>
      <c r="B4671" s="147"/>
    </row>
    <row r="4672" spans="1:3" ht="36" x14ac:dyDescent="0.25">
      <c r="A4672" s="218"/>
      <c r="B4672" s="219" t="s">
        <v>9388</v>
      </c>
      <c r="C4672" s="233"/>
    </row>
    <row r="4673" spans="1:3" ht="31.5" x14ac:dyDescent="0.25">
      <c r="A4673" s="127" t="s">
        <v>9833</v>
      </c>
      <c r="B4673" s="4" t="s">
        <v>9390</v>
      </c>
      <c r="C4673" s="83">
        <v>289</v>
      </c>
    </row>
    <row r="4674" spans="1:3" x14ac:dyDescent="0.25">
      <c r="A4674" s="71"/>
      <c r="B4674" s="147"/>
    </row>
    <row r="4675" spans="1:3" ht="36" x14ac:dyDescent="0.25">
      <c r="A4675" s="218"/>
      <c r="B4675" s="228" t="s">
        <v>9834</v>
      </c>
      <c r="C4675" s="233"/>
    </row>
    <row r="4676" spans="1:3" ht="78.75" x14ac:dyDescent="0.25">
      <c r="A4676" s="127" t="s">
        <v>9835</v>
      </c>
      <c r="B4676" s="4" t="s">
        <v>9836</v>
      </c>
      <c r="C4676" s="83">
        <v>89</v>
      </c>
    </row>
    <row r="4677" spans="1:3" x14ac:dyDescent="0.25">
      <c r="A4677" s="71"/>
      <c r="B4677" s="147"/>
    </row>
    <row r="4678" spans="1:3" ht="18" x14ac:dyDescent="0.25">
      <c r="A4678" s="218"/>
      <c r="B4678" s="219" t="s">
        <v>9457</v>
      </c>
      <c r="C4678" s="233"/>
    </row>
    <row r="4679" spans="1:3" ht="18" x14ac:dyDescent="0.25">
      <c r="A4679" s="177" t="s">
        <v>9459</v>
      </c>
      <c r="B4679" s="219" t="s">
        <v>9458</v>
      </c>
      <c r="C4679" s="233"/>
    </row>
    <row r="4680" spans="1:3" ht="47.25" x14ac:dyDescent="0.25">
      <c r="A4680" s="127" t="s">
        <v>9837</v>
      </c>
      <c r="B4680" s="4" t="s">
        <v>9468</v>
      </c>
      <c r="C4680" s="83">
        <v>1799</v>
      </c>
    </row>
    <row r="4681" spans="1:3" ht="18" x14ac:dyDescent="0.25">
      <c r="A4681" s="177" t="s">
        <v>9480</v>
      </c>
      <c r="B4681" s="232"/>
      <c r="C4681" s="233"/>
    </row>
    <row r="4682" spans="1:3" ht="47.25" x14ac:dyDescent="0.25">
      <c r="A4682" s="127" t="s">
        <v>9838</v>
      </c>
      <c r="B4682" s="4" t="s">
        <v>9482</v>
      </c>
      <c r="C4682" s="83">
        <v>1879</v>
      </c>
    </row>
    <row r="4683" spans="1:3" ht="47.25" x14ac:dyDescent="0.25">
      <c r="A4683" s="127" t="s">
        <v>9839</v>
      </c>
      <c r="B4683" s="4" t="s">
        <v>9488</v>
      </c>
      <c r="C4683" s="83">
        <v>1879</v>
      </c>
    </row>
    <row r="4684" spans="1:3" ht="47.25" x14ac:dyDescent="0.25">
      <c r="A4684" s="127" t="s">
        <v>9840</v>
      </c>
      <c r="B4684" s="4" t="s">
        <v>9492</v>
      </c>
      <c r="C4684" s="83">
        <v>2099</v>
      </c>
    </row>
    <row r="4685" spans="1:3" ht="18" x14ac:dyDescent="0.25">
      <c r="A4685" s="177" t="s">
        <v>9497</v>
      </c>
      <c r="B4685" s="232"/>
      <c r="C4685" s="233"/>
    </row>
    <row r="4686" spans="1:3" ht="47.25" x14ac:dyDescent="0.25">
      <c r="A4686" s="127" t="s">
        <v>9841</v>
      </c>
      <c r="B4686" s="4" t="s">
        <v>9499</v>
      </c>
      <c r="C4686" s="83">
        <v>1879</v>
      </c>
    </row>
    <row r="4687" spans="1:3" ht="47.25" x14ac:dyDescent="0.25">
      <c r="A4687" s="127" t="s">
        <v>9842</v>
      </c>
      <c r="B4687" s="4" t="s">
        <v>9501</v>
      </c>
      <c r="C4687" s="83">
        <v>2099</v>
      </c>
    </row>
    <row r="4688" spans="1:3" ht="47.25" x14ac:dyDescent="0.25">
      <c r="A4688" s="127" t="s">
        <v>9843</v>
      </c>
      <c r="B4688" s="4" t="s">
        <v>9505</v>
      </c>
      <c r="C4688" s="83">
        <v>1879</v>
      </c>
    </row>
    <row r="4689" spans="1:3" ht="47.25" x14ac:dyDescent="0.25">
      <c r="A4689" s="127" t="s">
        <v>9844</v>
      </c>
      <c r="B4689" s="4" t="s">
        <v>9507</v>
      </c>
      <c r="C4689" s="83">
        <v>2099</v>
      </c>
    </row>
    <row r="4690" spans="1:3" ht="47.25" x14ac:dyDescent="0.25">
      <c r="A4690" s="127" t="s">
        <v>9845</v>
      </c>
      <c r="B4690" s="4" t="s">
        <v>9509</v>
      </c>
      <c r="C4690" s="83">
        <v>2099</v>
      </c>
    </row>
    <row r="4691" spans="1:3" ht="47.25" x14ac:dyDescent="0.25">
      <c r="A4691" s="127" t="s">
        <v>9846</v>
      </c>
      <c r="B4691" s="4" t="s">
        <v>9511</v>
      </c>
      <c r="C4691" s="83">
        <v>2059</v>
      </c>
    </row>
    <row r="4692" spans="1:3" x14ac:dyDescent="0.25">
      <c r="A4692" s="236" t="s">
        <v>9549</v>
      </c>
      <c r="B4692" s="147"/>
    </row>
    <row r="4693" spans="1:3" x14ac:dyDescent="0.25">
      <c r="A4693" s="149"/>
      <c r="B4693" s="147"/>
    </row>
    <row r="4694" spans="1:3" ht="36" x14ac:dyDescent="0.25">
      <c r="A4694" s="218"/>
      <c r="B4694" s="219" t="s">
        <v>9550</v>
      </c>
      <c r="C4694" s="233"/>
    </row>
    <row r="4695" spans="1:3" ht="31.5" x14ac:dyDescent="0.25">
      <c r="A4695" s="127" t="s">
        <v>9551</v>
      </c>
      <c r="B4695" s="4" t="s">
        <v>9552</v>
      </c>
      <c r="C4695" s="83">
        <v>389.99</v>
      </c>
    </row>
    <row r="4696" spans="1:3" ht="47.25" x14ac:dyDescent="0.25">
      <c r="A4696" s="127" t="s">
        <v>9553</v>
      </c>
      <c r="B4696" s="4" t="s">
        <v>9554</v>
      </c>
      <c r="C4696" s="83">
        <v>479</v>
      </c>
    </row>
    <row r="4697" spans="1:3" ht="47.25" x14ac:dyDescent="0.25">
      <c r="A4697" s="127" t="s">
        <v>9555</v>
      </c>
      <c r="B4697" s="4" t="s">
        <v>9556</v>
      </c>
      <c r="C4697" s="83">
        <v>479</v>
      </c>
    </row>
    <row r="4698" spans="1:3" x14ac:dyDescent="0.25">
      <c r="A4698" s="71"/>
      <c r="B4698" s="147"/>
    </row>
    <row r="4699" spans="1:3" ht="18" x14ac:dyDescent="0.25">
      <c r="A4699" s="218"/>
      <c r="B4699" s="237" t="s">
        <v>9557</v>
      </c>
      <c r="C4699" s="233"/>
    </row>
    <row r="4700" spans="1:3" x14ac:dyDescent="0.25">
      <c r="A4700" s="127" t="s">
        <v>9847</v>
      </c>
      <c r="B4700" s="4" t="s">
        <v>9848</v>
      </c>
      <c r="C4700" s="83">
        <v>179</v>
      </c>
    </row>
    <row r="4701" spans="1:3" x14ac:dyDescent="0.25">
      <c r="B4701" s="133"/>
    </row>
    <row r="4702" spans="1:3" x14ac:dyDescent="0.25">
      <c r="A4702" s="71"/>
      <c r="B4702" s="139"/>
      <c r="C4702" s="86"/>
    </row>
    <row r="4703" spans="1:3" ht="36" x14ac:dyDescent="0.25">
      <c r="A4703" s="225" t="s">
        <v>9122</v>
      </c>
      <c r="B4703" s="228" t="s">
        <v>9849</v>
      </c>
      <c r="C4703" s="229"/>
    </row>
    <row r="4704" spans="1:3" ht="47.25" x14ac:dyDescent="0.25">
      <c r="A4704" s="127" t="s">
        <v>9850</v>
      </c>
      <c r="B4704" s="4" t="s">
        <v>9684</v>
      </c>
      <c r="C4704" s="83">
        <v>839</v>
      </c>
    </row>
    <row r="4705" spans="1:3" ht="47.25" x14ac:dyDescent="0.25">
      <c r="A4705" s="127" t="s">
        <v>9851</v>
      </c>
      <c r="B4705" s="4" t="s">
        <v>9686</v>
      </c>
      <c r="C4705" s="83">
        <v>799</v>
      </c>
    </row>
    <row r="4706" spans="1:3" ht="47.25" x14ac:dyDescent="0.25">
      <c r="A4706" s="127" t="s">
        <v>9852</v>
      </c>
      <c r="B4706" s="4" t="s">
        <v>9853</v>
      </c>
      <c r="C4706" s="83">
        <v>899</v>
      </c>
    </row>
    <row r="4707" spans="1:3" ht="47.25" x14ac:dyDescent="0.25">
      <c r="A4707" s="127" t="s">
        <v>9854</v>
      </c>
      <c r="B4707" s="4" t="s">
        <v>9690</v>
      </c>
      <c r="C4707" s="83">
        <v>819</v>
      </c>
    </row>
    <row r="4708" spans="1:3" ht="47.25" x14ac:dyDescent="0.25">
      <c r="A4708" s="127" t="s">
        <v>9855</v>
      </c>
      <c r="B4708" s="4" t="s">
        <v>9692</v>
      </c>
      <c r="C4708" s="83">
        <v>859</v>
      </c>
    </row>
    <row r="4709" spans="1:3" ht="47.25" x14ac:dyDescent="0.25">
      <c r="A4709" s="127" t="s">
        <v>9856</v>
      </c>
      <c r="B4709" s="4" t="s">
        <v>9694</v>
      </c>
      <c r="C4709" s="83">
        <v>819</v>
      </c>
    </row>
    <row r="4710" spans="1:3" ht="18" x14ac:dyDescent="0.25">
      <c r="A4710" s="225" t="s">
        <v>9136</v>
      </c>
      <c r="B4710" s="238"/>
      <c r="C4710" s="233"/>
    </row>
    <row r="4711" spans="1:3" ht="47.25" x14ac:dyDescent="0.25">
      <c r="A4711" s="127" t="s">
        <v>9857</v>
      </c>
      <c r="B4711" s="4" t="s">
        <v>9696</v>
      </c>
      <c r="C4711" s="83">
        <v>959</v>
      </c>
    </row>
    <row r="4712" spans="1:3" ht="47.25" x14ac:dyDescent="0.25">
      <c r="A4712" s="127" t="s">
        <v>9858</v>
      </c>
      <c r="B4712" s="4" t="s">
        <v>9859</v>
      </c>
      <c r="C4712" s="83">
        <v>919</v>
      </c>
    </row>
    <row r="4713" spans="1:3" ht="63" x14ac:dyDescent="0.25">
      <c r="A4713" s="127" t="s">
        <v>9860</v>
      </c>
      <c r="B4713" s="4" t="s">
        <v>9861</v>
      </c>
      <c r="C4713" s="83">
        <v>1009</v>
      </c>
    </row>
    <row r="4714" spans="1:3" ht="63" x14ac:dyDescent="0.25">
      <c r="A4714" s="127" t="s">
        <v>9862</v>
      </c>
      <c r="B4714" s="4" t="s">
        <v>9863</v>
      </c>
      <c r="C4714" s="83">
        <v>969</v>
      </c>
    </row>
    <row r="4715" spans="1:3" ht="47.25" x14ac:dyDescent="0.25">
      <c r="A4715" s="127" t="s">
        <v>9864</v>
      </c>
      <c r="B4715" s="4" t="s">
        <v>9865</v>
      </c>
      <c r="C4715" s="83">
        <v>999</v>
      </c>
    </row>
    <row r="4716" spans="1:3" ht="63" x14ac:dyDescent="0.25">
      <c r="A4716" s="127" t="s">
        <v>9866</v>
      </c>
      <c r="B4716" s="4" t="s">
        <v>9702</v>
      </c>
      <c r="C4716" s="83">
        <v>959</v>
      </c>
    </row>
    <row r="4717" spans="1:3" x14ac:dyDescent="0.25">
      <c r="A4717" s="71"/>
      <c r="B4717" s="139"/>
    </row>
    <row r="4718" spans="1:3" ht="36" x14ac:dyDescent="0.25">
      <c r="A4718" s="225" t="s">
        <v>9122</v>
      </c>
      <c r="B4718" s="228" t="s">
        <v>9149</v>
      </c>
      <c r="C4718" s="233"/>
    </row>
    <row r="4719" spans="1:3" ht="47.25" x14ac:dyDescent="0.25">
      <c r="A4719" s="127" t="s">
        <v>9867</v>
      </c>
      <c r="B4719" s="4" t="s">
        <v>9704</v>
      </c>
      <c r="C4719" s="83">
        <v>999</v>
      </c>
    </row>
    <row r="4720" spans="1:3" ht="47.25" x14ac:dyDescent="0.25">
      <c r="A4720" s="127" t="s">
        <v>9868</v>
      </c>
      <c r="B4720" s="4" t="s">
        <v>9706</v>
      </c>
      <c r="C4720" s="83">
        <v>959</v>
      </c>
    </row>
    <row r="4721" spans="1:3" ht="47.25" x14ac:dyDescent="0.25">
      <c r="A4721" s="127" t="s">
        <v>9869</v>
      </c>
      <c r="B4721" s="4" t="s">
        <v>9708</v>
      </c>
      <c r="C4721" s="83">
        <v>1049</v>
      </c>
    </row>
    <row r="4722" spans="1:3" ht="47.25" x14ac:dyDescent="0.25">
      <c r="A4722" s="127" t="s">
        <v>9870</v>
      </c>
      <c r="B4722" s="4" t="s">
        <v>9710</v>
      </c>
      <c r="C4722" s="83">
        <v>979</v>
      </c>
    </row>
    <row r="4723" spans="1:3" ht="47.25" x14ac:dyDescent="0.25">
      <c r="A4723" s="127" t="s">
        <v>9871</v>
      </c>
      <c r="B4723" s="4" t="s">
        <v>9712</v>
      </c>
      <c r="C4723" s="83">
        <v>1009</v>
      </c>
    </row>
    <row r="4724" spans="1:3" ht="47.25" x14ac:dyDescent="0.25">
      <c r="A4724" s="127" t="s">
        <v>9872</v>
      </c>
      <c r="B4724" s="4" t="s">
        <v>9714</v>
      </c>
      <c r="C4724" s="83">
        <v>969</v>
      </c>
    </row>
    <row r="4725" spans="1:3" ht="18" x14ac:dyDescent="0.25">
      <c r="A4725" s="225" t="s">
        <v>9162</v>
      </c>
      <c r="B4725" s="238"/>
      <c r="C4725" s="233"/>
    </row>
    <row r="4726" spans="1:3" ht="47.25" x14ac:dyDescent="0.25">
      <c r="A4726" s="127" t="s">
        <v>1020</v>
      </c>
      <c r="B4726" s="4" t="s">
        <v>9716</v>
      </c>
      <c r="C4726" s="83">
        <v>1099</v>
      </c>
    </row>
    <row r="4727" spans="1:3" ht="47.25" x14ac:dyDescent="0.25">
      <c r="A4727" s="127" t="s">
        <v>9873</v>
      </c>
      <c r="B4727" s="4" t="s">
        <v>9718</v>
      </c>
      <c r="C4727" s="83">
        <v>1059</v>
      </c>
    </row>
    <row r="4728" spans="1:3" ht="63" x14ac:dyDescent="0.25">
      <c r="A4728" s="127" t="s">
        <v>9874</v>
      </c>
      <c r="B4728" s="4" t="s">
        <v>9875</v>
      </c>
      <c r="C4728" s="83">
        <v>1149</v>
      </c>
    </row>
    <row r="4729" spans="1:3" ht="63" x14ac:dyDescent="0.25">
      <c r="A4729" s="127" t="s">
        <v>9876</v>
      </c>
      <c r="B4729" s="4" t="s">
        <v>9722</v>
      </c>
      <c r="C4729" s="83">
        <v>1109</v>
      </c>
    </row>
    <row r="4730" spans="1:3" ht="63" x14ac:dyDescent="0.25">
      <c r="A4730" s="127" t="s">
        <v>9877</v>
      </c>
      <c r="B4730" s="4" t="s">
        <v>9724</v>
      </c>
      <c r="C4730" s="83">
        <v>1139</v>
      </c>
    </row>
    <row r="4731" spans="1:3" ht="63" x14ac:dyDescent="0.25">
      <c r="A4731" s="127" t="s">
        <v>9878</v>
      </c>
      <c r="B4731" s="4" t="s">
        <v>9726</v>
      </c>
      <c r="C4731" s="83">
        <v>1099</v>
      </c>
    </row>
    <row r="4732" spans="1:3" x14ac:dyDescent="0.25">
      <c r="A4732" s="194" t="s">
        <v>9199</v>
      </c>
      <c r="B4732" s="139"/>
    </row>
    <row r="4733" spans="1:3" x14ac:dyDescent="0.25">
      <c r="A4733" s="69"/>
      <c r="B4733" s="139"/>
    </row>
    <row r="4734" spans="1:3" ht="54" x14ac:dyDescent="0.25">
      <c r="A4734" s="225" t="s">
        <v>9200</v>
      </c>
      <c r="B4734" s="219" t="s">
        <v>15803</v>
      </c>
      <c r="C4734" s="233"/>
    </row>
    <row r="4735" spans="1:3" ht="110.25" x14ac:dyDescent="0.25">
      <c r="A4735" s="127" t="s">
        <v>9879</v>
      </c>
      <c r="B4735" s="4" t="s">
        <v>9880</v>
      </c>
      <c r="C4735" s="83">
        <v>1279</v>
      </c>
    </row>
    <row r="4736" spans="1:3" ht="126" x14ac:dyDescent="0.25">
      <c r="A4736" s="127" t="s">
        <v>9881</v>
      </c>
      <c r="B4736" s="4" t="s">
        <v>9882</v>
      </c>
      <c r="C4736" s="83">
        <v>1279</v>
      </c>
    </row>
    <row r="4737" spans="1:3" ht="110.25" x14ac:dyDescent="0.25">
      <c r="A4737" s="127" t="s">
        <v>9883</v>
      </c>
      <c r="B4737" s="4" t="s">
        <v>9884</v>
      </c>
      <c r="C4737" s="83">
        <v>1279</v>
      </c>
    </row>
    <row r="4738" spans="1:3" ht="110.25" x14ac:dyDescent="0.25">
      <c r="A4738" s="127" t="s">
        <v>9885</v>
      </c>
      <c r="B4738" s="4" t="s">
        <v>9886</v>
      </c>
      <c r="C4738" s="83">
        <v>1279</v>
      </c>
    </row>
    <row r="4739" spans="1:3" x14ac:dyDescent="0.25">
      <c r="A4739" s="128"/>
      <c r="B4739" s="73"/>
    </row>
    <row r="4740" spans="1:3" ht="36" x14ac:dyDescent="0.25">
      <c r="A4740" s="186" t="s">
        <v>9217</v>
      </c>
      <c r="B4740" s="193" t="s">
        <v>9887</v>
      </c>
      <c r="C4740" s="224"/>
    </row>
    <row r="4741" spans="1:3" ht="94.5" x14ac:dyDescent="0.25">
      <c r="A4741" s="127" t="s">
        <v>9888</v>
      </c>
      <c r="B4741" s="66" t="s">
        <v>9889</v>
      </c>
      <c r="C4741" s="83">
        <v>599</v>
      </c>
    </row>
    <row r="4742" spans="1:3" ht="78.75" x14ac:dyDescent="0.25">
      <c r="A4742" s="127" t="s">
        <v>9890</v>
      </c>
      <c r="B4742" s="66" t="s">
        <v>9891</v>
      </c>
      <c r="C4742" s="83">
        <v>599</v>
      </c>
    </row>
    <row r="4743" spans="1:3" ht="94.5" x14ac:dyDescent="0.25">
      <c r="A4743" s="127" t="s">
        <v>9892</v>
      </c>
      <c r="B4743" s="66" t="s">
        <v>9893</v>
      </c>
      <c r="C4743" s="83">
        <v>599</v>
      </c>
    </row>
    <row r="4744" spans="1:3" ht="78.75" x14ac:dyDescent="0.25">
      <c r="A4744" s="127" t="s">
        <v>9894</v>
      </c>
      <c r="B4744" s="66" t="s">
        <v>9895</v>
      </c>
      <c r="C4744" s="83">
        <v>599</v>
      </c>
    </row>
    <row r="4745" spans="1:3" ht="94.5" x14ac:dyDescent="0.25">
      <c r="A4745" s="127" t="s">
        <v>9896</v>
      </c>
      <c r="B4745" s="66" t="s">
        <v>9897</v>
      </c>
      <c r="C4745" s="83">
        <v>599</v>
      </c>
    </row>
    <row r="4746" spans="1:3" ht="78.75" x14ac:dyDescent="0.25">
      <c r="A4746" s="127" t="s">
        <v>9898</v>
      </c>
      <c r="B4746" s="66" t="s">
        <v>9899</v>
      </c>
      <c r="C4746" s="83">
        <v>599</v>
      </c>
    </row>
    <row r="4747" spans="1:3" x14ac:dyDescent="0.25">
      <c r="A4747" s="71"/>
      <c r="B4747" s="139"/>
    </row>
    <row r="4748" spans="1:3" x14ac:dyDescent="0.25">
      <c r="A4748" s="71"/>
      <c r="B4748" s="235" t="s">
        <v>9900</v>
      </c>
    </row>
    <row r="4749" spans="1:3" ht="18" x14ac:dyDescent="0.25">
      <c r="A4749" s="218"/>
      <c r="B4749" s="219" t="s">
        <v>9246</v>
      </c>
      <c r="C4749" s="233"/>
    </row>
    <row r="4750" spans="1:3" ht="47.25" x14ac:dyDescent="0.25">
      <c r="A4750" s="127" t="s">
        <v>9901</v>
      </c>
      <c r="B4750" s="4" t="s">
        <v>9248</v>
      </c>
      <c r="C4750" s="83">
        <v>579</v>
      </c>
    </row>
    <row r="4751" spans="1:3" ht="47.25" x14ac:dyDescent="0.25">
      <c r="A4751" s="127" t="s">
        <v>9902</v>
      </c>
      <c r="B4751" s="4" t="s">
        <v>9634</v>
      </c>
      <c r="C4751" s="83">
        <v>579</v>
      </c>
    </row>
    <row r="4752" spans="1:3" ht="78.75" x14ac:dyDescent="0.25">
      <c r="A4752" s="127" t="s">
        <v>9903</v>
      </c>
      <c r="B4752" s="4" t="s">
        <v>15587</v>
      </c>
      <c r="C4752" s="83">
        <v>959</v>
      </c>
    </row>
    <row r="4753" spans="1:3" x14ac:dyDescent="0.25">
      <c r="A4753" s="71"/>
      <c r="B4753" s="212" t="s">
        <v>9251</v>
      </c>
    </row>
    <row r="4754" spans="1:3" x14ac:dyDescent="0.25">
      <c r="A4754" s="71"/>
      <c r="B4754" s="139"/>
    </row>
    <row r="4755" spans="1:3" x14ac:dyDescent="0.25">
      <c r="A4755" s="71"/>
      <c r="B4755" s="235" t="s">
        <v>9900</v>
      </c>
    </row>
    <row r="4756" spans="1:3" ht="54" x14ac:dyDescent="0.25">
      <c r="A4756" s="218"/>
      <c r="B4756" s="219" t="s">
        <v>9252</v>
      </c>
      <c r="C4756" s="233"/>
    </row>
    <row r="4757" spans="1:3" ht="31.5" x14ac:dyDescent="0.25">
      <c r="A4757" s="127" t="s">
        <v>9904</v>
      </c>
      <c r="B4757" s="4" t="s">
        <v>9254</v>
      </c>
      <c r="C4757" s="83">
        <v>949</v>
      </c>
    </row>
    <row r="4758" spans="1:3" ht="31.5" x14ac:dyDescent="0.25">
      <c r="A4758" s="127" t="s">
        <v>9905</v>
      </c>
      <c r="B4758" s="4" t="s">
        <v>9256</v>
      </c>
      <c r="C4758" s="83">
        <v>949</v>
      </c>
    </row>
    <row r="4759" spans="1:3" ht="31.5" x14ac:dyDescent="0.25">
      <c r="A4759" s="127" t="s">
        <v>9906</v>
      </c>
      <c r="B4759" s="4" t="s">
        <v>9258</v>
      </c>
      <c r="C4759" s="83">
        <v>1029</v>
      </c>
    </row>
    <row r="4760" spans="1:3" x14ac:dyDescent="0.25">
      <c r="A4760" s="71"/>
      <c r="B4760" s="212" t="s">
        <v>9251</v>
      </c>
    </row>
    <row r="4761" spans="1:3" x14ac:dyDescent="0.25">
      <c r="A4761" s="71"/>
      <c r="B4761" s="139"/>
    </row>
    <row r="4762" spans="1:3" x14ac:dyDescent="0.25">
      <c r="A4762" s="71"/>
      <c r="B4762" s="235" t="s">
        <v>9900</v>
      </c>
    </row>
    <row r="4763" spans="1:3" ht="54" x14ac:dyDescent="0.25">
      <c r="A4763" s="218"/>
      <c r="B4763" s="219" t="s">
        <v>9259</v>
      </c>
      <c r="C4763" s="233"/>
    </row>
    <row r="4764" spans="1:3" ht="31.5" x14ac:dyDescent="0.25">
      <c r="A4764" s="127" t="s">
        <v>9907</v>
      </c>
      <c r="B4764" s="66" t="s">
        <v>9261</v>
      </c>
      <c r="C4764" s="83">
        <v>1179</v>
      </c>
    </row>
    <row r="4765" spans="1:3" ht="31.5" x14ac:dyDescent="0.25">
      <c r="A4765" s="127" t="s">
        <v>9908</v>
      </c>
      <c r="B4765" s="66" t="s">
        <v>9263</v>
      </c>
      <c r="C4765" s="83">
        <v>1179</v>
      </c>
    </row>
    <row r="4766" spans="1:3" ht="31.5" x14ac:dyDescent="0.25">
      <c r="A4766" s="127" t="s">
        <v>9909</v>
      </c>
      <c r="B4766" s="66" t="s">
        <v>9265</v>
      </c>
      <c r="C4766" s="83">
        <v>1339</v>
      </c>
    </row>
    <row r="4767" spans="1:3" x14ac:dyDescent="0.25">
      <c r="A4767" s="71"/>
      <c r="B4767" s="131" t="s">
        <v>9251</v>
      </c>
    </row>
    <row r="4768" spans="1:3" x14ac:dyDescent="0.25">
      <c r="A4768" s="71"/>
      <c r="B4768" s="131"/>
    </row>
    <row r="4769" spans="1:3" ht="54" x14ac:dyDescent="0.25">
      <c r="A4769" s="200"/>
      <c r="B4769" s="193" t="s">
        <v>9266</v>
      </c>
      <c r="C4769" s="233"/>
    </row>
    <row r="4770" spans="1:3" ht="31.5" x14ac:dyDescent="0.25">
      <c r="A4770" s="44" t="s">
        <v>9910</v>
      </c>
      <c r="B4770" s="66" t="s">
        <v>9268</v>
      </c>
      <c r="C4770" s="83">
        <v>1459</v>
      </c>
    </row>
    <row r="4771" spans="1:3" ht="31.5" x14ac:dyDescent="0.25">
      <c r="A4771" s="44" t="s">
        <v>9911</v>
      </c>
      <c r="B4771" s="66" t="s">
        <v>9270</v>
      </c>
      <c r="C4771" s="83">
        <v>1459</v>
      </c>
    </row>
    <row r="4772" spans="1:3" ht="31.5" x14ac:dyDescent="0.25">
      <c r="A4772" s="44" t="s">
        <v>9912</v>
      </c>
      <c r="B4772" s="66" t="s">
        <v>9272</v>
      </c>
      <c r="C4772" s="83">
        <v>1689</v>
      </c>
    </row>
    <row r="4773" spans="1:3" x14ac:dyDescent="0.25">
      <c r="A4773" s="71"/>
      <c r="B4773" s="131"/>
    </row>
    <row r="4774" spans="1:3" x14ac:dyDescent="0.25">
      <c r="A4774" s="71"/>
      <c r="B4774" s="235" t="s">
        <v>9900</v>
      </c>
    </row>
    <row r="4775" spans="1:3" x14ac:dyDescent="0.25">
      <c r="A4775" s="126"/>
      <c r="B4775" s="198" t="s">
        <v>9273</v>
      </c>
    </row>
    <row r="4776" spans="1:3" ht="36" x14ac:dyDescent="0.25">
      <c r="A4776" s="202"/>
      <c r="B4776" s="193" t="s">
        <v>15799</v>
      </c>
      <c r="C4776" s="233"/>
    </row>
    <row r="4777" spans="1:3" ht="31.5" x14ac:dyDescent="0.25">
      <c r="A4777" s="44" t="s">
        <v>9913</v>
      </c>
      <c r="B4777" s="66" t="s">
        <v>9275</v>
      </c>
      <c r="C4777" s="83">
        <v>609</v>
      </c>
    </row>
    <row r="4778" spans="1:3" ht="31.5" x14ac:dyDescent="0.25">
      <c r="A4778" s="44" t="s">
        <v>9914</v>
      </c>
      <c r="B4778" s="66" t="s">
        <v>9277</v>
      </c>
      <c r="C4778" s="83">
        <v>609</v>
      </c>
    </row>
    <row r="4779" spans="1:3" ht="31.5" x14ac:dyDescent="0.25">
      <c r="A4779" s="44" t="s">
        <v>9915</v>
      </c>
      <c r="B4779" s="66" t="s">
        <v>9279</v>
      </c>
      <c r="C4779" s="83">
        <v>609</v>
      </c>
    </row>
    <row r="4780" spans="1:3" ht="31.5" x14ac:dyDescent="0.25">
      <c r="A4780" s="44" t="s">
        <v>9916</v>
      </c>
      <c r="B4780" s="66" t="s">
        <v>9281</v>
      </c>
      <c r="C4780" s="83">
        <v>609</v>
      </c>
    </row>
    <row r="4781" spans="1:3" ht="31.5" x14ac:dyDescent="0.25">
      <c r="A4781" s="44" t="s">
        <v>9917</v>
      </c>
      <c r="B4781" s="66" t="s">
        <v>9283</v>
      </c>
      <c r="C4781" s="83">
        <v>609</v>
      </c>
    </row>
    <row r="4782" spans="1:3" ht="31.5" x14ac:dyDescent="0.25">
      <c r="A4782" s="44" t="s">
        <v>9918</v>
      </c>
      <c r="B4782" s="66" t="s">
        <v>9285</v>
      </c>
      <c r="C4782" s="83">
        <v>609</v>
      </c>
    </row>
    <row r="4783" spans="1:3" ht="31.5" x14ac:dyDescent="0.25">
      <c r="A4783" s="44" t="s">
        <v>9919</v>
      </c>
      <c r="B4783" s="66" t="s">
        <v>9287</v>
      </c>
      <c r="C4783" s="83">
        <v>609</v>
      </c>
    </row>
    <row r="4784" spans="1:3" x14ac:dyDescent="0.25">
      <c r="A4784" s="126"/>
      <c r="B4784" s="198" t="s">
        <v>9251</v>
      </c>
    </row>
    <row r="4785" spans="1:3" x14ac:dyDescent="0.25">
      <c r="A4785" s="126"/>
      <c r="B4785" s="68"/>
    </row>
    <row r="4786" spans="1:3" x14ac:dyDescent="0.25">
      <c r="A4786" s="126"/>
      <c r="B4786" s="235" t="s">
        <v>9900</v>
      </c>
    </row>
    <row r="4787" spans="1:3" x14ac:dyDescent="0.25">
      <c r="A4787" s="126"/>
      <c r="B4787" s="198" t="s">
        <v>9273</v>
      </c>
    </row>
    <row r="4788" spans="1:3" ht="36" x14ac:dyDescent="0.25">
      <c r="A4788" s="202"/>
      <c r="B4788" s="193" t="s">
        <v>15800</v>
      </c>
      <c r="C4788" s="233"/>
    </row>
    <row r="4789" spans="1:3" ht="31.5" x14ac:dyDescent="0.25">
      <c r="A4789" s="44" t="s">
        <v>9920</v>
      </c>
      <c r="B4789" s="66" t="s">
        <v>9289</v>
      </c>
      <c r="C4789" s="83">
        <v>619</v>
      </c>
    </row>
    <row r="4790" spans="1:3" ht="31.5" x14ac:dyDescent="0.25">
      <c r="A4790" s="44" t="s">
        <v>9921</v>
      </c>
      <c r="B4790" s="66" t="s">
        <v>9291</v>
      </c>
      <c r="C4790" s="83">
        <v>619</v>
      </c>
    </row>
    <row r="4791" spans="1:3" ht="31.5" x14ac:dyDescent="0.25">
      <c r="A4791" s="44" t="s">
        <v>9922</v>
      </c>
      <c r="B4791" s="66" t="s">
        <v>9293</v>
      </c>
      <c r="C4791" s="83">
        <v>619</v>
      </c>
    </row>
    <row r="4792" spans="1:3" ht="31.5" x14ac:dyDescent="0.25">
      <c r="A4792" s="44" t="s">
        <v>9923</v>
      </c>
      <c r="B4792" s="66" t="s">
        <v>9295</v>
      </c>
      <c r="C4792" s="83">
        <v>619</v>
      </c>
    </row>
    <row r="4793" spans="1:3" ht="31.5" x14ac:dyDescent="0.25">
      <c r="A4793" s="44" t="s">
        <v>9924</v>
      </c>
      <c r="B4793" s="66" t="s">
        <v>9297</v>
      </c>
      <c r="C4793" s="83">
        <v>619</v>
      </c>
    </row>
    <row r="4794" spans="1:3" ht="31.5" x14ac:dyDescent="0.25">
      <c r="A4794" s="44" t="s">
        <v>9925</v>
      </c>
      <c r="B4794" s="66" t="s">
        <v>9299</v>
      </c>
      <c r="C4794" s="83">
        <v>619</v>
      </c>
    </row>
    <row r="4795" spans="1:3" ht="31.5" x14ac:dyDescent="0.25">
      <c r="A4795" s="44" t="s">
        <v>9926</v>
      </c>
      <c r="B4795" s="66" t="s">
        <v>9301</v>
      </c>
      <c r="C4795" s="83">
        <v>619</v>
      </c>
    </row>
    <row r="4796" spans="1:3" x14ac:dyDescent="0.25">
      <c r="A4796" s="126"/>
      <c r="B4796" s="198" t="s">
        <v>9251</v>
      </c>
    </row>
    <row r="4797" spans="1:3" x14ac:dyDescent="0.25">
      <c r="A4797" s="126"/>
      <c r="B4797" s="198"/>
    </row>
    <row r="4798" spans="1:3" x14ac:dyDescent="0.25">
      <c r="A4798" s="126"/>
      <c r="B4798" s="198" t="s">
        <v>9273</v>
      </c>
    </row>
    <row r="4799" spans="1:3" ht="36" x14ac:dyDescent="0.25">
      <c r="A4799" s="202"/>
      <c r="B4799" s="193" t="s">
        <v>15801</v>
      </c>
      <c r="C4799" s="233"/>
    </row>
    <row r="4800" spans="1:3" ht="31.5" x14ac:dyDescent="0.25">
      <c r="A4800" s="44" t="s">
        <v>9927</v>
      </c>
      <c r="B4800" s="66" t="s">
        <v>9303</v>
      </c>
      <c r="C4800" s="83">
        <v>629</v>
      </c>
    </row>
    <row r="4801" spans="1:3" ht="31.5" x14ac:dyDescent="0.25">
      <c r="A4801" s="44" t="s">
        <v>9304</v>
      </c>
      <c r="B4801" s="66" t="s">
        <v>9305</v>
      </c>
      <c r="C4801" s="83">
        <v>0</v>
      </c>
    </row>
    <row r="4802" spans="1:3" ht="31.5" x14ac:dyDescent="0.25">
      <c r="A4802" s="44" t="s">
        <v>9928</v>
      </c>
      <c r="B4802" s="66" t="s">
        <v>9307</v>
      </c>
      <c r="C4802" s="83">
        <v>629</v>
      </c>
    </row>
    <row r="4803" spans="1:3" ht="31.5" x14ac:dyDescent="0.25">
      <c r="A4803" s="44" t="s">
        <v>9304</v>
      </c>
      <c r="B4803" s="66" t="s">
        <v>9308</v>
      </c>
      <c r="C4803" s="83">
        <v>0</v>
      </c>
    </row>
    <row r="4804" spans="1:3" ht="31.5" x14ac:dyDescent="0.25">
      <c r="A4804" s="44" t="s">
        <v>9929</v>
      </c>
      <c r="B4804" s="66" t="s">
        <v>9310</v>
      </c>
      <c r="C4804" s="83">
        <v>629</v>
      </c>
    </row>
    <row r="4805" spans="1:3" ht="31.5" x14ac:dyDescent="0.25">
      <c r="A4805" s="44" t="s">
        <v>9930</v>
      </c>
      <c r="B4805" s="66" t="s">
        <v>9312</v>
      </c>
      <c r="C4805" s="83">
        <v>629</v>
      </c>
    </row>
    <row r="4806" spans="1:3" ht="31.5" x14ac:dyDescent="0.25">
      <c r="A4806" s="44" t="s">
        <v>9931</v>
      </c>
      <c r="B4806" s="66" t="s">
        <v>9314</v>
      </c>
      <c r="C4806" s="83">
        <v>629</v>
      </c>
    </row>
    <row r="4807" spans="1:3" x14ac:dyDescent="0.25">
      <c r="A4807" s="194" t="s">
        <v>9315</v>
      </c>
      <c r="B4807" s="239"/>
    </row>
    <row r="4808" spans="1:3" x14ac:dyDescent="0.25">
      <c r="A4808" s="211"/>
      <c r="B4808" s="239"/>
    </row>
    <row r="4809" spans="1:3" x14ac:dyDescent="0.25">
      <c r="A4809" s="211"/>
      <c r="B4809" s="235" t="s">
        <v>9932</v>
      </c>
    </row>
    <row r="4810" spans="1:3" ht="18" x14ac:dyDescent="0.25">
      <c r="A4810" s="218"/>
      <c r="B4810" s="219" t="s">
        <v>9320</v>
      </c>
      <c r="C4810" s="233"/>
    </row>
    <row r="4811" spans="1:3" ht="47.25" x14ac:dyDescent="0.25">
      <c r="A4811" s="127" t="s">
        <v>9933</v>
      </c>
      <c r="B4811" s="148" t="s">
        <v>9324</v>
      </c>
      <c r="C4811" s="83">
        <v>699</v>
      </c>
    </row>
    <row r="4812" spans="1:3" ht="47.25" x14ac:dyDescent="0.25">
      <c r="A4812" s="22" t="s">
        <v>9934</v>
      </c>
      <c r="B4812" s="148" t="s">
        <v>9326</v>
      </c>
      <c r="C4812" s="83">
        <v>699</v>
      </c>
    </row>
    <row r="4813" spans="1:3" x14ac:dyDescent="0.25">
      <c r="A4813" s="71"/>
      <c r="B4813" s="139"/>
    </row>
    <row r="4814" spans="1:3" x14ac:dyDescent="0.25">
      <c r="A4814" s="71"/>
      <c r="B4814" s="235" t="s">
        <v>9935</v>
      </c>
    </row>
    <row r="4815" spans="1:3" ht="18" x14ac:dyDescent="0.25">
      <c r="A4815" s="218"/>
      <c r="B4815" s="219" t="s">
        <v>9328</v>
      </c>
      <c r="C4815" s="233"/>
    </row>
    <row r="4816" spans="1:3" ht="31.5" x14ac:dyDescent="0.25">
      <c r="A4816" s="127" t="s">
        <v>9936</v>
      </c>
      <c r="B4816" s="4" t="s">
        <v>9937</v>
      </c>
      <c r="C4816" s="83">
        <v>459</v>
      </c>
    </row>
    <row r="4817" spans="1:3" ht="63" x14ac:dyDescent="0.25">
      <c r="A4817" s="127" t="s">
        <v>9938</v>
      </c>
      <c r="B4817" s="4" t="s">
        <v>9939</v>
      </c>
      <c r="C4817" s="83">
        <v>929</v>
      </c>
    </row>
    <row r="4818" spans="1:3" ht="63" x14ac:dyDescent="0.25">
      <c r="A4818" s="127" t="s">
        <v>9940</v>
      </c>
      <c r="B4818" s="4" t="s">
        <v>9941</v>
      </c>
      <c r="C4818" s="83">
        <v>929</v>
      </c>
    </row>
    <row r="4819" spans="1:3" x14ac:dyDescent="0.25">
      <c r="A4819" s="71"/>
      <c r="B4819" s="139"/>
    </row>
    <row r="4820" spans="1:3" x14ac:dyDescent="0.25">
      <c r="A4820" s="71"/>
      <c r="B4820" s="235" t="s">
        <v>9942</v>
      </c>
    </row>
    <row r="4821" spans="1:3" ht="18" x14ac:dyDescent="0.25">
      <c r="A4821" s="218"/>
      <c r="B4821" s="219" t="s">
        <v>9246</v>
      </c>
      <c r="C4821" s="233"/>
    </row>
    <row r="4822" spans="1:3" ht="47.25" x14ac:dyDescent="0.25">
      <c r="A4822" s="127" t="s">
        <v>9943</v>
      </c>
      <c r="B4822" s="4" t="s">
        <v>9248</v>
      </c>
      <c r="C4822" s="83">
        <v>579</v>
      </c>
    </row>
    <row r="4823" spans="1:3" ht="78.75" x14ac:dyDescent="0.25">
      <c r="A4823" s="127" t="s">
        <v>9944</v>
      </c>
      <c r="B4823" s="4" t="s">
        <v>15587</v>
      </c>
      <c r="C4823" s="83">
        <v>959</v>
      </c>
    </row>
    <row r="4824" spans="1:3" ht="47.25" x14ac:dyDescent="0.25">
      <c r="A4824" s="127" t="s">
        <v>9945</v>
      </c>
      <c r="B4824" s="4" t="s">
        <v>9634</v>
      </c>
      <c r="C4824" s="83">
        <v>579</v>
      </c>
    </row>
    <row r="4825" spans="1:3" x14ac:dyDescent="0.25">
      <c r="A4825" s="71"/>
      <c r="B4825" s="212" t="s">
        <v>9251</v>
      </c>
    </row>
    <row r="4826" spans="1:3" x14ac:dyDescent="0.25">
      <c r="A4826" s="71"/>
      <c r="B4826" s="139"/>
    </row>
    <row r="4827" spans="1:3" x14ac:dyDescent="0.25">
      <c r="A4827" s="71"/>
      <c r="B4827" s="235" t="s">
        <v>9942</v>
      </c>
    </row>
    <row r="4828" spans="1:3" ht="54" x14ac:dyDescent="0.25">
      <c r="A4828" s="218"/>
      <c r="B4828" s="219" t="s">
        <v>9252</v>
      </c>
      <c r="C4828" s="233"/>
    </row>
    <row r="4829" spans="1:3" x14ac:dyDescent="0.25">
      <c r="A4829" s="71"/>
      <c r="B4829" s="240" t="s">
        <v>9946</v>
      </c>
    </row>
    <row r="4830" spans="1:3" ht="31.5" x14ac:dyDescent="0.25">
      <c r="A4830" s="127" t="s">
        <v>9947</v>
      </c>
      <c r="B4830" s="4" t="s">
        <v>9254</v>
      </c>
      <c r="C4830" s="83">
        <v>949</v>
      </c>
    </row>
    <row r="4831" spans="1:3" ht="31.5" x14ac:dyDescent="0.25">
      <c r="A4831" s="127" t="s">
        <v>9948</v>
      </c>
      <c r="B4831" s="4" t="s">
        <v>9256</v>
      </c>
      <c r="C4831" s="83">
        <v>949</v>
      </c>
    </row>
    <row r="4832" spans="1:3" ht="31.5" x14ac:dyDescent="0.25">
      <c r="A4832" s="127" t="s">
        <v>9949</v>
      </c>
      <c r="B4832" s="4" t="s">
        <v>9258</v>
      </c>
      <c r="C4832" s="83">
        <v>1029</v>
      </c>
    </row>
    <row r="4833" spans="1:3" x14ac:dyDescent="0.25">
      <c r="A4833" s="71"/>
      <c r="B4833" s="212" t="s">
        <v>9251</v>
      </c>
    </row>
    <row r="4834" spans="1:3" x14ac:dyDescent="0.25">
      <c r="A4834" s="71"/>
      <c r="B4834" s="139"/>
    </row>
    <row r="4835" spans="1:3" x14ac:dyDescent="0.25">
      <c r="A4835" s="71"/>
      <c r="B4835" s="235" t="s">
        <v>9942</v>
      </c>
    </row>
    <row r="4836" spans="1:3" ht="54" x14ac:dyDescent="0.25">
      <c r="A4836" s="218"/>
      <c r="B4836" s="219" t="s">
        <v>9259</v>
      </c>
      <c r="C4836" s="233"/>
    </row>
    <row r="4837" spans="1:3" x14ac:dyDescent="0.25">
      <c r="A4837" s="211"/>
      <c r="B4837" s="240" t="s">
        <v>9946</v>
      </c>
      <c r="C4837" s="82"/>
    </row>
    <row r="4838" spans="1:3" ht="31.5" x14ac:dyDescent="0.25">
      <c r="A4838" s="127" t="s">
        <v>9950</v>
      </c>
      <c r="B4838" s="4" t="s">
        <v>9261</v>
      </c>
      <c r="C4838" s="83">
        <v>1179</v>
      </c>
    </row>
    <row r="4839" spans="1:3" ht="31.5" x14ac:dyDescent="0.25">
      <c r="A4839" s="127" t="s">
        <v>9951</v>
      </c>
      <c r="B4839" s="4" t="s">
        <v>9263</v>
      </c>
      <c r="C4839" s="83">
        <v>1179</v>
      </c>
    </row>
    <row r="4840" spans="1:3" ht="31.5" x14ac:dyDescent="0.25">
      <c r="A4840" s="127" t="s">
        <v>9952</v>
      </c>
      <c r="B4840" s="4" t="s">
        <v>9265</v>
      </c>
      <c r="C4840" s="83">
        <v>1339</v>
      </c>
    </row>
    <row r="4841" spans="1:3" ht="63" x14ac:dyDescent="0.25">
      <c r="A4841" s="127" t="s">
        <v>9953</v>
      </c>
      <c r="B4841" s="4" t="s">
        <v>15588</v>
      </c>
      <c r="C4841" s="83">
        <v>1559</v>
      </c>
    </row>
    <row r="4842" spans="1:3" x14ac:dyDescent="0.25">
      <c r="A4842" s="211"/>
      <c r="B4842" s="212" t="s">
        <v>9251</v>
      </c>
      <c r="C4842" s="82"/>
    </row>
    <row r="4843" spans="1:3" x14ac:dyDescent="0.25">
      <c r="A4843" s="71"/>
      <c r="B4843" s="131"/>
    </row>
    <row r="4844" spans="1:3" ht="54" x14ac:dyDescent="0.25">
      <c r="A4844" s="200"/>
      <c r="B4844" s="193" t="s">
        <v>9266</v>
      </c>
      <c r="C4844" s="233"/>
    </row>
    <row r="4845" spans="1:3" ht="31.5" x14ac:dyDescent="0.25">
      <c r="A4845" s="44" t="s">
        <v>9954</v>
      </c>
      <c r="B4845" s="66" t="s">
        <v>9268</v>
      </c>
      <c r="C4845" s="83">
        <v>1459</v>
      </c>
    </row>
    <row r="4846" spans="1:3" ht="31.5" x14ac:dyDescent="0.25">
      <c r="A4846" s="44" t="s">
        <v>9955</v>
      </c>
      <c r="B4846" s="66" t="s">
        <v>9270</v>
      </c>
      <c r="C4846" s="83">
        <v>1459</v>
      </c>
    </row>
    <row r="4847" spans="1:3" ht="31.5" x14ac:dyDescent="0.25">
      <c r="A4847" s="44" t="s">
        <v>9956</v>
      </c>
      <c r="B4847" s="66" t="s">
        <v>9272</v>
      </c>
      <c r="C4847" s="83">
        <v>1689</v>
      </c>
    </row>
    <row r="4848" spans="1:3" x14ac:dyDescent="0.25">
      <c r="A4848" s="71"/>
      <c r="B4848" s="131"/>
    </row>
    <row r="4849" spans="1:3" x14ac:dyDescent="0.25">
      <c r="A4849" s="211"/>
      <c r="B4849" s="235" t="s">
        <v>9942</v>
      </c>
      <c r="C4849" s="82"/>
    </row>
    <row r="4850" spans="1:3" x14ac:dyDescent="0.25">
      <c r="A4850" s="203"/>
      <c r="B4850" s="198" t="s">
        <v>9273</v>
      </c>
      <c r="C4850" s="82"/>
    </row>
    <row r="4851" spans="1:3" ht="36" x14ac:dyDescent="0.25">
      <c r="A4851" s="202"/>
      <c r="B4851" s="193" t="s">
        <v>15799</v>
      </c>
      <c r="C4851" s="233"/>
    </row>
    <row r="4852" spans="1:3" ht="31.5" x14ac:dyDescent="0.25">
      <c r="A4852" s="44" t="s">
        <v>9957</v>
      </c>
      <c r="B4852" s="66" t="s">
        <v>9958</v>
      </c>
      <c r="C4852" s="83">
        <v>609</v>
      </c>
    </row>
    <row r="4853" spans="1:3" ht="31.5" x14ac:dyDescent="0.25">
      <c r="A4853" s="44" t="s">
        <v>9959</v>
      </c>
      <c r="B4853" s="66" t="s">
        <v>9960</v>
      </c>
      <c r="C4853" s="83">
        <v>609</v>
      </c>
    </row>
    <row r="4854" spans="1:3" ht="31.5" x14ac:dyDescent="0.25">
      <c r="A4854" s="44" t="s">
        <v>9961</v>
      </c>
      <c r="B4854" s="66" t="s">
        <v>9962</v>
      </c>
      <c r="C4854" s="83">
        <v>609</v>
      </c>
    </row>
    <row r="4855" spans="1:3" ht="31.5" x14ac:dyDescent="0.25">
      <c r="A4855" s="44" t="s">
        <v>9963</v>
      </c>
      <c r="B4855" s="66" t="s">
        <v>9964</v>
      </c>
      <c r="C4855" s="83">
        <v>609</v>
      </c>
    </row>
    <row r="4856" spans="1:3" ht="31.5" x14ac:dyDescent="0.25">
      <c r="A4856" s="44" t="s">
        <v>9965</v>
      </c>
      <c r="B4856" s="66" t="s">
        <v>9966</v>
      </c>
      <c r="C4856" s="83">
        <v>609</v>
      </c>
    </row>
    <row r="4857" spans="1:3" ht="31.5" x14ac:dyDescent="0.25">
      <c r="A4857" s="44" t="s">
        <v>9967</v>
      </c>
      <c r="B4857" s="66" t="s">
        <v>9968</v>
      </c>
      <c r="C4857" s="83">
        <v>609</v>
      </c>
    </row>
    <row r="4858" spans="1:3" ht="31.5" x14ac:dyDescent="0.25">
      <c r="A4858" s="44" t="s">
        <v>9969</v>
      </c>
      <c r="B4858" s="66" t="s">
        <v>9970</v>
      </c>
      <c r="C4858" s="83">
        <v>609</v>
      </c>
    </row>
    <row r="4859" spans="1:3" x14ac:dyDescent="0.25">
      <c r="A4859" s="126"/>
      <c r="B4859" s="198" t="s">
        <v>9251</v>
      </c>
    </row>
    <row r="4860" spans="1:3" x14ac:dyDescent="0.25">
      <c r="A4860" s="126"/>
      <c r="B4860" s="198"/>
    </row>
    <row r="4861" spans="1:3" x14ac:dyDescent="0.25">
      <c r="A4861" s="126"/>
      <c r="B4861" s="235" t="s">
        <v>9942</v>
      </c>
    </row>
    <row r="4862" spans="1:3" x14ac:dyDescent="0.25">
      <c r="A4862" s="126"/>
      <c r="B4862" s="198" t="s">
        <v>9273</v>
      </c>
    </row>
    <row r="4863" spans="1:3" ht="36" x14ac:dyDescent="0.25">
      <c r="A4863" s="202"/>
      <c r="B4863" s="193" t="s">
        <v>15800</v>
      </c>
      <c r="C4863" s="233"/>
    </row>
    <row r="4864" spans="1:3" ht="31.5" x14ac:dyDescent="0.25">
      <c r="A4864" s="44" t="s">
        <v>9971</v>
      </c>
      <c r="B4864" s="66" t="s">
        <v>9289</v>
      </c>
      <c r="C4864" s="83">
        <v>619</v>
      </c>
    </row>
    <row r="4865" spans="1:3" ht="31.5" x14ac:dyDescent="0.25">
      <c r="A4865" s="44" t="s">
        <v>9972</v>
      </c>
      <c r="B4865" s="66" t="s">
        <v>9291</v>
      </c>
      <c r="C4865" s="83">
        <v>619</v>
      </c>
    </row>
    <row r="4866" spans="1:3" ht="31.5" x14ac:dyDescent="0.25">
      <c r="A4866" s="44" t="s">
        <v>9973</v>
      </c>
      <c r="B4866" s="66" t="s">
        <v>9293</v>
      </c>
      <c r="C4866" s="83">
        <v>619</v>
      </c>
    </row>
    <row r="4867" spans="1:3" ht="31.5" x14ac:dyDescent="0.25">
      <c r="A4867" s="44" t="s">
        <v>9974</v>
      </c>
      <c r="B4867" s="66" t="s">
        <v>9295</v>
      </c>
      <c r="C4867" s="83">
        <v>619</v>
      </c>
    </row>
    <row r="4868" spans="1:3" ht="31.5" x14ac:dyDescent="0.25">
      <c r="A4868" s="44" t="s">
        <v>9975</v>
      </c>
      <c r="B4868" s="66" t="s">
        <v>9297</v>
      </c>
      <c r="C4868" s="83">
        <v>619</v>
      </c>
    </row>
    <row r="4869" spans="1:3" ht="31.5" x14ac:dyDescent="0.25">
      <c r="A4869" s="44" t="s">
        <v>9976</v>
      </c>
      <c r="B4869" s="66" t="s">
        <v>9299</v>
      </c>
      <c r="C4869" s="83">
        <v>619</v>
      </c>
    </row>
    <row r="4870" spans="1:3" ht="31.5" x14ac:dyDescent="0.25">
      <c r="A4870" s="44" t="s">
        <v>9977</v>
      </c>
      <c r="B4870" s="66" t="s">
        <v>9301</v>
      </c>
      <c r="C4870" s="83">
        <v>619</v>
      </c>
    </row>
    <row r="4871" spans="1:3" x14ac:dyDescent="0.25">
      <c r="A4871" s="126"/>
      <c r="B4871" s="68" t="s">
        <v>9251</v>
      </c>
    </row>
    <row r="4872" spans="1:3" x14ac:dyDescent="0.25">
      <c r="A4872" s="126"/>
      <c r="B4872" s="68"/>
    </row>
    <row r="4873" spans="1:3" x14ac:dyDescent="0.25">
      <c r="A4873" s="126"/>
      <c r="B4873" s="68" t="s">
        <v>9273</v>
      </c>
    </row>
    <row r="4874" spans="1:3" ht="36" x14ac:dyDescent="0.25">
      <c r="A4874" s="202"/>
      <c r="B4874" s="193" t="s">
        <v>15801</v>
      </c>
      <c r="C4874" s="233"/>
    </row>
    <row r="4875" spans="1:3" ht="31.5" x14ac:dyDescent="0.25">
      <c r="A4875" s="44" t="s">
        <v>9978</v>
      </c>
      <c r="B4875" s="66" t="s">
        <v>9303</v>
      </c>
      <c r="C4875" s="83">
        <v>629</v>
      </c>
    </row>
    <row r="4876" spans="1:3" ht="31.5" x14ac:dyDescent="0.25">
      <c r="A4876" s="44" t="s">
        <v>9304</v>
      </c>
      <c r="B4876" s="66" t="s">
        <v>9305</v>
      </c>
      <c r="C4876" s="83">
        <v>0</v>
      </c>
    </row>
    <row r="4877" spans="1:3" ht="31.5" x14ac:dyDescent="0.25">
      <c r="A4877" s="44" t="s">
        <v>9979</v>
      </c>
      <c r="B4877" s="66" t="s">
        <v>9307</v>
      </c>
      <c r="C4877" s="83">
        <v>629</v>
      </c>
    </row>
    <row r="4878" spans="1:3" ht="31.5" x14ac:dyDescent="0.25">
      <c r="A4878" s="44" t="s">
        <v>9304</v>
      </c>
      <c r="B4878" s="66" t="s">
        <v>9308</v>
      </c>
      <c r="C4878" s="83">
        <v>0</v>
      </c>
    </row>
    <row r="4879" spans="1:3" ht="31.5" x14ac:dyDescent="0.25">
      <c r="A4879" s="44" t="s">
        <v>9980</v>
      </c>
      <c r="B4879" s="66" t="s">
        <v>9310</v>
      </c>
      <c r="C4879" s="83">
        <v>629</v>
      </c>
    </row>
    <row r="4880" spans="1:3" ht="31.5" x14ac:dyDescent="0.25">
      <c r="A4880" s="44" t="s">
        <v>9981</v>
      </c>
      <c r="B4880" s="66" t="s">
        <v>9312</v>
      </c>
      <c r="C4880" s="83">
        <v>629</v>
      </c>
    </row>
    <row r="4881" spans="1:3" ht="31.5" x14ac:dyDescent="0.25">
      <c r="A4881" s="44" t="s">
        <v>9982</v>
      </c>
      <c r="B4881" s="66" t="s">
        <v>9314</v>
      </c>
      <c r="C4881" s="83">
        <v>629</v>
      </c>
    </row>
    <row r="4882" spans="1:3" x14ac:dyDescent="0.25">
      <c r="A4882" s="194" t="s">
        <v>9315</v>
      </c>
      <c r="B4882" s="239"/>
    </row>
    <row r="4883" spans="1:3" x14ac:dyDescent="0.25">
      <c r="A4883" s="194"/>
      <c r="B4883" s="239"/>
    </row>
    <row r="4884" spans="1:3" x14ac:dyDescent="0.25">
      <c r="A4884" s="211"/>
      <c r="B4884" s="235" t="s">
        <v>9983</v>
      </c>
    </row>
    <row r="4885" spans="1:3" ht="18" x14ac:dyDescent="0.25">
      <c r="A4885" s="218"/>
      <c r="B4885" s="219" t="s">
        <v>9320</v>
      </c>
      <c r="C4885" s="233"/>
    </row>
    <row r="4886" spans="1:3" ht="47.25" x14ac:dyDescent="0.25">
      <c r="A4886" s="127" t="s">
        <v>9984</v>
      </c>
      <c r="B4886" s="148" t="s">
        <v>9324</v>
      </c>
      <c r="C4886" s="83">
        <v>699</v>
      </c>
    </row>
    <row r="4887" spans="1:3" ht="47.25" x14ac:dyDescent="0.25">
      <c r="A4887" s="22" t="s">
        <v>9985</v>
      </c>
      <c r="B4887" s="148" t="s">
        <v>9326</v>
      </c>
      <c r="C4887" s="83">
        <v>699</v>
      </c>
    </row>
    <row r="4888" spans="1:3" x14ac:dyDescent="0.25">
      <c r="A4888" s="71"/>
      <c r="B4888" s="139"/>
    </row>
    <row r="4889" spans="1:3" x14ac:dyDescent="0.25">
      <c r="A4889" s="211"/>
      <c r="B4889" s="235" t="s">
        <v>9986</v>
      </c>
    </row>
    <row r="4890" spans="1:3" ht="18" x14ac:dyDescent="0.25">
      <c r="A4890" s="218"/>
      <c r="B4890" s="219" t="s">
        <v>9328</v>
      </c>
      <c r="C4890" s="233"/>
    </row>
    <row r="4891" spans="1:3" ht="31.5" x14ac:dyDescent="0.25">
      <c r="A4891" s="127" t="s">
        <v>9987</v>
      </c>
      <c r="B4891" s="4" t="s">
        <v>9937</v>
      </c>
      <c r="C4891" s="83">
        <v>459</v>
      </c>
    </row>
    <row r="4892" spans="1:3" ht="63" x14ac:dyDescent="0.25">
      <c r="A4892" s="127" t="s">
        <v>9988</v>
      </c>
      <c r="B4892" s="4" t="s">
        <v>9939</v>
      </c>
      <c r="C4892" s="83">
        <v>929</v>
      </c>
    </row>
    <row r="4893" spans="1:3" ht="63" x14ac:dyDescent="0.25">
      <c r="A4893" s="127" t="s">
        <v>9989</v>
      </c>
      <c r="B4893" s="4" t="s">
        <v>9941</v>
      </c>
      <c r="C4893" s="83">
        <v>929</v>
      </c>
    </row>
    <row r="4894" spans="1:3" x14ac:dyDescent="0.25">
      <c r="A4894" s="71"/>
      <c r="B4894" s="139"/>
    </row>
    <row r="4895" spans="1:3" ht="18" x14ac:dyDescent="0.25">
      <c r="A4895" s="218"/>
      <c r="B4895" s="219" t="s">
        <v>9347</v>
      </c>
      <c r="C4895" s="233"/>
    </row>
    <row r="4896" spans="1:3" ht="31.5" x14ac:dyDescent="0.25">
      <c r="A4896" s="127" t="s">
        <v>9990</v>
      </c>
      <c r="B4896" s="4" t="s">
        <v>9991</v>
      </c>
      <c r="C4896" s="83">
        <v>359</v>
      </c>
    </row>
    <row r="4897" spans="1:3" ht="31.5" x14ac:dyDescent="0.25">
      <c r="A4897" s="127" t="s">
        <v>9992</v>
      </c>
      <c r="B4897" s="4" t="s">
        <v>9993</v>
      </c>
      <c r="C4897" s="83">
        <v>409</v>
      </c>
    </row>
    <row r="4898" spans="1:3" ht="47.25" x14ac:dyDescent="0.25">
      <c r="A4898" s="127" t="s">
        <v>9994</v>
      </c>
      <c r="B4898" s="4" t="s">
        <v>9995</v>
      </c>
      <c r="C4898" s="83">
        <v>329</v>
      </c>
    </row>
    <row r="4899" spans="1:3" ht="31.5" x14ac:dyDescent="0.25">
      <c r="A4899" s="127" t="s">
        <v>9996</v>
      </c>
      <c r="B4899" s="4" t="s">
        <v>9997</v>
      </c>
      <c r="C4899" s="83">
        <v>359</v>
      </c>
    </row>
    <row r="4900" spans="1:3" ht="63" x14ac:dyDescent="0.25">
      <c r="A4900" s="127" t="s">
        <v>9998</v>
      </c>
      <c r="B4900" s="4" t="s">
        <v>9999</v>
      </c>
      <c r="C4900" s="83">
        <v>259</v>
      </c>
    </row>
    <row r="4901" spans="1:3" ht="47.25" x14ac:dyDescent="0.25">
      <c r="A4901" s="74" t="s">
        <v>10000</v>
      </c>
      <c r="B4901" s="4" t="s">
        <v>10001</v>
      </c>
      <c r="C4901" s="83">
        <v>259</v>
      </c>
    </row>
    <row r="4902" spans="1:3" ht="47.25" x14ac:dyDescent="0.25">
      <c r="A4902" s="74" t="s">
        <v>10002</v>
      </c>
      <c r="B4902" s="4" t="s">
        <v>10003</v>
      </c>
      <c r="C4902" s="83">
        <v>359</v>
      </c>
    </row>
    <row r="4903" spans="1:3" x14ac:dyDescent="0.25">
      <c r="A4903" s="75"/>
      <c r="B4903" s="73"/>
    </row>
    <row r="4904" spans="1:3" x14ac:dyDescent="0.25">
      <c r="A4904" s="71"/>
      <c r="B4904" s="235" t="s">
        <v>10004</v>
      </c>
    </row>
    <row r="4905" spans="1:3" ht="18" x14ac:dyDescent="0.25">
      <c r="A4905" s="218"/>
      <c r="B4905" s="219" t="s">
        <v>9366</v>
      </c>
      <c r="C4905" s="233"/>
    </row>
    <row r="4906" spans="1:3" ht="47.25" x14ac:dyDescent="0.25">
      <c r="A4906" s="22" t="s">
        <v>10005</v>
      </c>
      <c r="B4906" s="4" t="s">
        <v>9367</v>
      </c>
      <c r="C4906" s="83">
        <v>339</v>
      </c>
    </row>
    <row r="4907" spans="1:3" ht="47.25" x14ac:dyDescent="0.25">
      <c r="A4907" s="127" t="s">
        <v>1014</v>
      </c>
      <c r="B4907" s="4" t="s">
        <v>10006</v>
      </c>
      <c r="C4907" s="83">
        <v>249</v>
      </c>
    </row>
    <row r="4908" spans="1:3" x14ac:dyDescent="0.25">
      <c r="A4908" s="71"/>
      <c r="B4908" s="139"/>
    </row>
    <row r="4909" spans="1:3" x14ac:dyDescent="0.25">
      <c r="A4909" s="71"/>
      <c r="B4909" s="235" t="s">
        <v>10007</v>
      </c>
    </row>
    <row r="4910" spans="1:3" ht="18" x14ac:dyDescent="0.25">
      <c r="A4910" s="218"/>
      <c r="B4910" s="219" t="s">
        <v>9366</v>
      </c>
      <c r="C4910" s="233"/>
    </row>
    <row r="4911" spans="1:3" ht="47.25" x14ac:dyDescent="0.25">
      <c r="A4911" s="127" t="s">
        <v>1008</v>
      </c>
      <c r="B4911" s="4" t="s">
        <v>9367</v>
      </c>
      <c r="C4911" s="83">
        <v>339</v>
      </c>
    </row>
    <row r="4912" spans="1:3" x14ac:dyDescent="0.25">
      <c r="A4912" s="71"/>
      <c r="B4912" s="139"/>
    </row>
    <row r="4913" spans="1:3" ht="36" x14ac:dyDescent="0.25">
      <c r="A4913" s="218"/>
      <c r="B4913" s="219" t="s">
        <v>9388</v>
      </c>
      <c r="C4913" s="233"/>
    </row>
    <row r="4914" spans="1:3" ht="31.5" x14ac:dyDescent="0.25">
      <c r="A4914" s="22" t="s">
        <v>10008</v>
      </c>
      <c r="B4914" s="4" t="s">
        <v>9390</v>
      </c>
      <c r="C4914" s="83">
        <v>379</v>
      </c>
    </row>
    <row r="4915" spans="1:3" x14ac:dyDescent="0.25">
      <c r="A4915" s="71"/>
      <c r="B4915" s="139"/>
    </row>
    <row r="4916" spans="1:3" ht="18" x14ac:dyDescent="0.25">
      <c r="A4916" s="218"/>
      <c r="B4916" s="228" t="s">
        <v>10009</v>
      </c>
      <c r="C4916" s="233"/>
    </row>
    <row r="4917" spans="1:3" ht="18" x14ac:dyDescent="0.25">
      <c r="A4917" s="218"/>
      <c r="B4917" s="228" t="s">
        <v>10010</v>
      </c>
      <c r="C4917" s="233"/>
    </row>
    <row r="4918" spans="1:3" ht="18" x14ac:dyDescent="0.25">
      <c r="A4918" s="218"/>
      <c r="B4918" s="207" t="s">
        <v>10011</v>
      </c>
      <c r="C4918" s="233"/>
    </row>
    <row r="4919" spans="1:3" ht="78.75" x14ac:dyDescent="0.25">
      <c r="A4919" s="22" t="s">
        <v>10012</v>
      </c>
      <c r="B4919" s="4" t="s">
        <v>10013</v>
      </c>
      <c r="C4919" s="83">
        <v>89</v>
      </c>
    </row>
    <row r="4920" spans="1:3" x14ac:dyDescent="0.25">
      <c r="A4920" s="71"/>
      <c r="B4920" s="139"/>
    </row>
    <row r="4921" spans="1:3" ht="18" x14ac:dyDescent="0.25">
      <c r="A4921" s="218"/>
      <c r="B4921" s="228" t="s">
        <v>9674</v>
      </c>
      <c r="C4921" s="233"/>
    </row>
    <row r="4922" spans="1:3" ht="18" x14ac:dyDescent="0.25">
      <c r="A4922" s="218"/>
      <c r="B4922" s="207" t="s">
        <v>10014</v>
      </c>
      <c r="C4922" s="233"/>
    </row>
    <row r="4923" spans="1:3" ht="47.25" x14ac:dyDescent="0.25">
      <c r="A4923" s="127" t="s">
        <v>10015</v>
      </c>
      <c r="B4923" s="4" t="s">
        <v>10016</v>
      </c>
      <c r="C4923" s="83">
        <v>899</v>
      </c>
    </row>
    <row r="4924" spans="1:3" ht="47.25" x14ac:dyDescent="0.25">
      <c r="A4924" s="127" t="s">
        <v>10017</v>
      </c>
      <c r="B4924" s="4" t="s">
        <v>10018</v>
      </c>
      <c r="C4924" s="83">
        <v>1299</v>
      </c>
    </row>
    <row r="4925" spans="1:3" x14ac:dyDescent="0.25">
      <c r="A4925" s="71"/>
      <c r="B4925" s="139"/>
    </row>
    <row r="4926" spans="1:3" ht="18" x14ac:dyDescent="0.25">
      <c r="A4926" s="218"/>
      <c r="B4926" s="219" t="s">
        <v>10019</v>
      </c>
      <c r="C4926" s="233"/>
    </row>
    <row r="4927" spans="1:3" ht="63" x14ac:dyDescent="0.25">
      <c r="A4927" s="127" t="s">
        <v>10020</v>
      </c>
      <c r="B4927" s="4" t="s">
        <v>10021</v>
      </c>
      <c r="C4927" s="83">
        <v>969</v>
      </c>
    </row>
    <row r="4928" spans="1:3" x14ac:dyDescent="0.25">
      <c r="A4928" s="71"/>
      <c r="B4928" s="139"/>
    </row>
    <row r="4929" spans="1:3" x14ac:dyDescent="0.25">
      <c r="A4929" s="71"/>
      <c r="B4929" s="212" t="s">
        <v>9581</v>
      </c>
    </row>
    <row r="4930" spans="1:3" ht="36" x14ac:dyDescent="0.25">
      <c r="A4930" s="218"/>
      <c r="B4930" s="219" t="s">
        <v>10022</v>
      </c>
      <c r="C4930" s="233"/>
    </row>
    <row r="4931" spans="1:3" ht="189" x14ac:dyDescent="0.25">
      <c r="A4931" s="127" t="s">
        <v>10023</v>
      </c>
      <c r="B4931" s="4" t="s">
        <v>10024</v>
      </c>
      <c r="C4931" s="83">
        <v>2609</v>
      </c>
    </row>
    <row r="4932" spans="1:3" ht="189" x14ac:dyDescent="0.25">
      <c r="A4932" s="127" t="s">
        <v>10025</v>
      </c>
      <c r="B4932" s="4" t="s">
        <v>10026</v>
      </c>
      <c r="C4932" s="83">
        <v>2609</v>
      </c>
    </row>
    <row r="4933" spans="1:3" x14ac:dyDescent="0.25">
      <c r="A4933" s="71"/>
      <c r="B4933" s="133"/>
    </row>
    <row r="4934" spans="1:3" x14ac:dyDescent="0.25">
      <c r="A4934" s="71"/>
      <c r="B4934" s="212" t="s">
        <v>9581</v>
      </c>
    </row>
    <row r="4935" spans="1:3" ht="36" x14ac:dyDescent="0.25">
      <c r="A4935" s="218"/>
      <c r="B4935" s="219" t="s">
        <v>15804</v>
      </c>
      <c r="C4935" s="233"/>
    </row>
    <row r="4936" spans="1:3" ht="47.25" x14ac:dyDescent="0.25">
      <c r="A4936" s="127" t="s">
        <v>10027</v>
      </c>
      <c r="B4936" s="137" t="s">
        <v>10028</v>
      </c>
      <c r="C4936" s="83">
        <v>299.99</v>
      </c>
    </row>
    <row r="4937" spans="1:3" ht="47.25" x14ac:dyDescent="0.25">
      <c r="A4937" s="127" t="s">
        <v>10015</v>
      </c>
      <c r="B4937" s="4" t="s">
        <v>10016</v>
      </c>
      <c r="C4937" s="83">
        <v>899</v>
      </c>
    </row>
    <row r="4938" spans="1:3" ht="47.25" x14ac:dyDescent="0.25">
      <c r="A4938" s="127" t="s">
        <v>10017</v>
      </c>
      <c r="B4938" s="4" t="s">
        <v>10018</v>
      </c>
      <c r="C4938" s="83">
        <v>1299</v>
      </c>
    </row>
    <row r="4939" spans="1:3" x14ac:dyDescent="0.25">
      <c r="A4939" s="127" t="s">
        <v>10029</v>
      </c>
      <c r="B4939" s="4" t="s">
        <v>9587</v>
      </c>
      <c r="C4939" s="83">
        <v>149</v>
      </c>
    </row>
    <row r="4940" spans="1:3" ht="47.25" x14ac:dyDescent="0.25">
      <c r="A4940" s="127" t="s">
        <v>10000</v>
      </c>
      <c r="B4940" s="4" t="s">
        <v>10030</v>
      </c>
      <c r="C4940" s="83">
        <v>259</v>
      </c>
    </row>
    <row r="4941" spans="1:3" x14ac:dyDescent="0.25">
      <c r="A4941" s="127" t="s">
        <v>9994</v>
      </c>
      <c r="B4941" s="4" t="s">
        <v>9588</v>
      </c>
      <c r="C4941" s="83">
        <v>329</v>
      </c>
    </row>
    <row r="4942" spans="1:3" x14ac:dyDescent="0.25">
      <c r="A4942" s="71"/>
      <c r="B4942" s="139"/>
    </row>
    <row r="4943" spans="1:3" x14ac:dyDescent="0.25">
      <c r="A4943" s="71"/>
      <c r="B4943" s="212" t="s">
        <v>9589</v>
      </c>
    </row>
    <row r="4944" spans="1:3" ht="36" x14ac:dyDescent="0.25">
      <c r="A4944" s="218"/>
      <c r="B4944" s="219" t="s">
        <v>10031</v>
      </c>
      <c r="C4944" s="233"/>
    </row>
    <row r="4945" spans="1:3" ht="283.5" x14ac:dyDescent="0.25">
      <c r="A4945" s="127" t="s">
        <v>10032</v>
      </c>
      <c r="B4945" s="4" t="s">
        <v>10033</v>
      </c>
      <c r="C4945" s="83">
        <v>4429</v>
      </c>
    </row>
    <row r="4946" spans="1:3" x14ac:dyDescent="0.25">
      <c r="A4946" s="71"/>
      <c r="B4946" s="133"/>
    </row>
    <row r="4947" spans="1:3" ht="18" x14ac:dyDescent="0.25">
      <c r="A4947" s="218"/>
      <c r="B4947" s="219" t="s">
        <v>9595</v>
      </c>
      <c r="C4947" s="233"/>
    </row>
    <row r="4948" spans="1:3" ht="31.5" x14ac:dyDescent="0.25">
      <c r="A4948" s="137" t="s">
        <v>10034</v>
      </c>
      <c r="B4948" s="4" t="s">
        <v>9598</v>
      </c>
      <c r="C4948" s="83">
        <v>2619</v>
      </c>
    </row>
    <row r="4949" spans="1:3" x14ac:dyDescent="0.25">
      <c r="A4949" s="71"/>
      <c r="B4949" s="139"/>
      <c r="C4949" s="86"/>
    </row>
    <row r="4950" spans="1:3" ht="36" x14ac:dyDescent="0.25">
      <c r="A4950" s="231" t="s">
        <v>9122</v>
      </c>
      <c r="B4950" s="228" t="s">
        <v>9149</v>
      </c>
      <c r="C4950" s="233"/>
    </row>
    <row r="4951" spans="1:3" ht="47.25" x14ac:dyDescent="0.25">
      <c r="A4951" s="127" t="s">
        <v>10035</v>
      </c>
      <c r="B4951" s="4" t="s">
        <v>9704</v>
      </c>
      <c r="C4951" s="83">
        <v>999</v>
      </c>
    </row>
    <row r="4952" spans="1:3" ht="47.25" x14ac:dyDescent="0.25">
      <c r="A4952" s="127" t="s">
        <v>10036</v>
      </c>
      <c r="B4952" s="4" t="s">
        <v>9706</v>
      </c>
      <c r="C4952" s="83">
        <v>959</v>
      </c>
    </row>
    <row r="4953" spans="1:3" ht="47.25" x14ac:dyDescent="0.25">
      <c r="A4953" s="127" t="s">
        <v>10037</v>
      </c>
      <c r="B4953" s="4" t="s">
        <v>9708</v>
      </c>
      <c r="C4953" s="83">
        <v>1049</v>
      </c>
    </row>
    <row r="4954" spans="1:3" ht="47.25" x14ac:dyDescent="0.25">
      <c r="A4954" s="127" t="s">
        <v>10038</v>
      </c>
      <c r="B4954" s="4" t="s">
        <v>9710</v>
      </c>
      <c r="C4954" s="83">
        <v>979</v>
      </c>
    </row>
    <row r="4955" spans="1:3" ht="47.25" x14ac:dyDescent="0.25">
      <c r="A4955" s="127" t="s">
        <v>10039</v>
      </c>
      <c r="B4955" s="4" t="s">
        <v>9712</v>
      </c>
      <c r="C4955" s="83">
        <v>1009</v>
      </c>
    </row>
    <row r="4956" spans="1:3" ht="47.25" x14ac:dyDescent="0.25">
      <c r="A4956" s="127" t="s">
        <v>10040</v>
      </c>
      <c r="B4956" s="4" t="s">
        <v>9714</v>
      </c>
      <c r="C4956" s="83">
        <v>969</v>
      </c>
    </row>
    <row r="4957" spans="1:3" x14ac:dyDescent="0.25">
      <c r="A4957" s="143" t="s">
        <v>9162</v>
      </c>
      <c r="B4957" s="139"/>
    </row>
    <row r="4958" spans="1:3" ht="47.25" x14ac:dyDescent="0.25">
      <c r="A4958" s="127" t="s">
        <v>10041</v>
      </c>
      <c r="B4958" s="4" t="s">
        <v>9716</v>
      </c>
      <c r="C4958" s="83">
        <v>1099</v>
      </c>
    </row>
    <row r="4959" spans="1:3" ht="47.25" x14ac:dyDescent="0.25">
      <c r="A4959" s="127" t="s">
        <v>10042</v>
      </c>
      <c r="B4959" s="4" t="s">
        <v>9718</v>
      </c>
      <c r="C4959" s="83">
        <v>1059</v>
      </c>
    </row>
    <row r="4960" spans="1:3" ht="63" x14ac:dyDescent="0.25">
      <c r="A4960" s="127" t="s">
        <v>10043</v>
      </c>
      <c r="B4960" s="4" t="s">
        <v>9875</v>
      </c>
      <c r="C4960" s="83">
        <v>1149</v>
      </c>
    </row>
    <row r="4961" spans="1:3" ht="63" x14ac:dyDescent="0.25">
      <c r="A4961" s="127" t="s">
        <v>10044</v>
      </c>
      <c r="B4961" s="4" t="s">
        <v>9722</v>
      </c>
      <c r="C4961" s="83">
        <v>1109</v>
      </c>
    </row>
    <row r="4962" spans="1:3" ht="63" x14ac:dyDescent="0.25">
      <c r="A4962" s="127" t="s">
        <v>10045</v>
      </c>
      <c r="B4962" s="4" t="s">
        <v>9724</v>
      </c>
      <c r="C4962" s="83">
        <v>1139</v>
      </c>
    </row>
    <row r="4963" spans="1:3" ht="63" x14ac:dyDescent="0.25">
      <c r="A4963" s="127" t="s">
        <v>10046</v>
      </c>
      <c r="B4963" s="4" t="s">
        <v>9726</v>
      </c>
      <c r="C4963" s="83">
        <v>1099</v>
      </c>
    </row>
    <row r="4964" spans="1:3" x14ac:dyDescent="0.25">
      <c r="A4964" s="194" t="s">
        <v>9199</v>
      </c>
      <c r="B4964" s="239"/>
    </row>
    <row r="4965" spans="1:3" x14ac:dyDescent="0.25">
      <c r="A4965" s="69"/>
      <c r="B4965" s="139"/>
    </row>
    <row r="4966" spans="1:3" ht="54" x14ac:dyDescent="0.25">
      <c r="A4966" s="231" t="s">
        <v>9200</v>
      </c>
      <c r="B4966" s="219" t="s">
        <v>15803</v>
      </c>
      <c r="C4966" s="233"/>
    </row>
    <row r="4967" spans="1:3" ht="110.25" x14ac:dyDescent="0.25">
      <c r="A4967" s="127" t="s">
        <v>10047</v>
      </c>
      <c r="B4967" s="4" t="s">
        <v>9880</v>
      </c>
      <c r="C4967" s="83">
        <v>1279</v>
      </c>
    </row>
    <row r="4968" spans="1:3" ht="126" x14ac:dyDescent="0.25">
      <c r="A4968" s="127" t="s">
        <v>10048</v>
      </c>
      <c r="B4968" s="4" t="s">
        <v>9882</v>
      </c>
      <c r="C4968" s="83">
        <v>1279</v>
      </c>
    </row>
    <row r="4969" spans="1:3" ht="110.25" x14ac:dyDescent="0.25">
      <c r="A4969" s="127" t="s">
        <v>10049</v>
      </c>
      <c r="B4969" s="4" t="s">
        <v>9884</v>
      </c>
      <c r="C4969" s="83">
        <v>1279</v>
      </c>
    </row>
    <row r="4970" spans="1:3" ht="110.25" x14ac:dyDescent="0.25">
      <c r="A4970" s="127" t="s">
        <v>10050</v>
      </c>
      <c r="B4970" s="4" t="s">
        <v>9886</v>
      </c>
      <c r="C4970" s="83">
        <v>1279</v>
      </c>
    </row>
    <row r="4971" spans="1:3" x14ac:dyDescent="0.25">
      <c r="A4971" s="71"/>
      <c r="B4971" s="139"/>
    </row>
    <row r="4972" spans="1:3" ht="18" x14ac:dyDescent="0.25">
      <c r="A4972" s="218"/>
      <c r="B4972" s="219" t="s">
        <v>9246</v>
      </c>
      <c r="C4972" s="233"/>
    </row>
    <row r="4973" spans="1:3" ht="47.25" x14ac:dyDescent="0.25">
      <c r="A4973" s="127" t="s">
        <v>10051</v>
      </c>
      <c r="B4973" s="4" t="s">
        <v>9248</v>
      </c>
      <c r="C4973" s="83">
        <v>579</v>
      </c>
    </row>
    <row r="4974" spans="1:3" x14ac:dyDescent="0.25">
      <c r="A4974" s="71"/>
      <c r="B4974" s="212" t="s">
        <v>9251</v>
      </c>
    </row>
    <row r="4975" spans="1:3" x14ac:dyDescent="0.25">
      <c r="A4975" s="71"/>
      <c r="B4975" s="144"/>
    </row>
    <row r="4976" spans="1:3" ht="54" x14ac:dyDescent="0.25">
      <c r="A4976" s="218"/>
      <c r="B4976" s="219" t="s">
        <v>9252</v>
      </c>
      <c r="C4976" s="233"/>
    </row>
    <row r="4977" spans="1:3" ht="31.5" x14ac:dyDescent="0.25">
      <c r="A4977" s="127" t="s">
        <v>10052</v>
      </c>
      <c r="B4977" s="4" t="s">
        <v>9254</v>
      </c>
      <c r="C4977" s="83">
        <v>949</v>
      </c>
    </row>
    <row r="4978" spans="1:3" ht="31.5" x14ac:dyDescent="0.25">
      <c r="A4978" s="127" t="s">
        <v>10053</v>
      </c>
      <c r="B4978" s="4" t="s">
        <v>9256</v>
      </c>
      <c r="C4978" s="83">
        <v>949</v>
      </c>
    </row>
    <row r="4979" spans="1:3" ht="31.5" x14ac:dyDescent="0.25">
      <c r="A4979" s="127" t="s">
        <v>10054</v>
      </c>
      <c r="B4979" s="4" t="s">
        <v>9258</v>
      </c>
      <c r="C4979" s="83">
        <v>1029</v>
      </c>
    </row>
    <row r="4980" spans="1:3" x14ac:dyDescent="0.25">
      <c r="A4980" s="71"/>
      <c r="B4980" s="212" t="s">
        <v>9251</v>
      </c>
    </row>
    <row r="4981" spans="1:3" x14ac:dyDescent="0.25">
      <c r="A4981" s="71"/>
      <c r="B4981" s="139"/>
    </row>
    <row r="4982" spans="1:3" ht="54" x14ac:dyDescent="0.25">
      <c r="A4982" s="218"/>
      <c r="B4982" s="219" t="s">
        <v>9259</v>
      </c>
      <c r="C4982" s="233"/>
    </row>
    <row r="4983" spans="1:3" ht="31.5" x14ac:dyDescent="0.25">
      <c r="A4983" s="127" t="s">
        <v>10055</v>
      </c>
      <c r="B4983" s="4" t="s">
        <v>9261</v>
      </c>
      <c r="C4983" s="83">
        <v>1179</v>
      </c>
    </row>
    <row r="4984" spans="1:3" ht="31.5" x14ac:dyDescent="0.25">
      <c r="A4984" s="127" t="s">
        <v>10056</v>
      </c>
      <c r="B4984" s="4" t="s">
        <v>9263</v>
      </c>
      <c r="C4984" s="83">
        <v>1179</v>
      </c>
    </row>
    <row r="4985" spans="1:3" ht="31.5" x14ac:dyDescent="0.25">
      <c r="A4985" s="127" t="s">
        <v>10057</v>
      </c>
      <c r="B4985" s="66" t="s">
        <v>9265</v>
      </c>
      <c r="C4985" s="83">
        <v>1339</v>
      </c>
    </row>
    <row r="4986" spans="1:3" x14ac:dyDescent="0.25">
      <c r="A4986" s="71"/>
      <c r="B4986" s="212" t="s">
        <v>9251</v>
      </c>
    </row>
    <row r="4987" spans="1:3" x14ac:dyDescent="0.25">
      <c r="A4987" s="71"/>
      <c r="B4987" s="131"/>
    </row>
    <row r="4988" spans="1:3" ht="54" x14ac:dyDescent="0.25">
      <c r="A4988" s="200"/>
      <c r="B4988" s="193" t="s">
        <v>9266</v>
      </c>
      <c r="C4988" s="233"/>
    </row>
    <row r="4989" spans="1:3" ht="31.5" x14ac:dyDescent="0.25">
      <c r="A4989" s="44" t="s">
        <v>10058</v>
      </c>
      <c r="B4989" s="66" t="s">
        <v>9268</v>
      </c>
      <c r="C4989" s="83">
        <v>1459</v>
      </c>
    </row>
    <row r="4990" spans="1:3" ht="31.5" x14ac:dyDescent="0.25">
      <c r="A4990" s="44" t="s">
        <v>10059</v>
      </c>
      <c r="B4990" s="66" t="s">
        <v>9270</v>
      </c>
      <c r="C4990" s="83">
        <v>1459</v>
      </c>
    </row>
    <row r="4991" spans="1:3" ht="31.5" x14ac:dyDescent="0.25">
      <c r="A4991" s="44" t="s">
        <v>10060</v>
      </c>
      <c r="B4991" s="66" t="s">
        <v>9272</v>
      </c>
      <c r="C4991" s="83">
        <v>1689</v>
      </c>
    </row>
    <row r="4992" spans="1:3" x14ac:dyDescent="0.25">
      <c r="A4992" s="71"/>
      <c r="B4992" s="131"/>
    </row>
    <row r="4993" spans="1:3" x14ac:dyDescent="0.25">
      <c r="A4993" s="126"/>
      <c r="B4993" s="198" t="s">
        <v>9273</v>
      </c>
    </row>
    <row r="4994" spans="1:3" ht="36" x14ac:dyDescent="0.25">
      <c r="A4994" s="202"/>
      <c r="B4994" s="193" t="s">
        <v>15799</v>
      </c>
      <c r="C4994" s="233"/>
    </row>
    <row r="4995" spans="1:3" ht="31.5" x14ac:dyDescent="0.25">
      <c r="A4995" s="44" t="s">
        <v>10061</v>
      </c>
      <c r="B4995" s="66" t="s">
        <v>9275</v>
      </c>
      <c r="C4995" s="83">
        <v>609</v>
      </c>
    </row>
    <row r="4996" spans="1:3" ht="31.5" x14ac:dyDescent="0.25">
      <c r="A4996" s="44" t="s">
        <v>10062</v>
      </c>
      <c r="B4996" s="66" t="s">
        <v>9277</v>
      </c>
      <c r="C4996" s="83">
        <v>609</v>
      </c>
    </row>
    <row r="4997" spans="1:3" ht="31.5" x14ac:dyDescent="0.25">
      <c r="A4997" s="44" t="s">
        <v>10063</v>
      </c>
      <c r="B4997" s="66" t="s">
        <v>9279</v>
      </c>
      <c r="C4997" s="83">
        <v>609</v>
      </c>
    </row>
    <row r="4998" spans="1:3" ht="31.5" x14ac:dyDescent="0.25">
      <c r="A4998" s="44" t="s">
        <v>10064</v>
      </c>
      <c r="B4998" s="66" t="s">
        <v>9281</v>
      </c>
      <c r="C4998" s="83">
        <v>609</v>
      </c>
    </row>
    <row r="4999" spans="1:3" ht="31.5" x14ac:dyDescent="0.25">
      <c r="A4999" s="44" t="s">
        <v>10065</v>
      </c>
      <c r="B4999" s="66" t="s">
        <v>9283</v>
      </c>
      <c r="C4999" s="83">
        <v>609</v>
      </c>
    </row>
    <row r="5000" spans="1:3" ht="31.5" x14ac:dyDescent="0.25">
      <c r="A5000" s="44" t="s">
        <v>10066</v>
      </c>
      <c r="B5000" s="66" t="s">
        <v>9285</v>
      </c>
      <c r="C5000" s="83">
        <v>609</v>
      </c>
    </row>
    <row r="5001" spans="1:3" ht="31.5" x14ac:dyDescent="0.25">
      <c r="A5001" s="44" t="s">
        <v>10067</v>
      </c>
      <c r="B5001" s="66" t="s">
        <v>9287</v>
      </c>
      <c r="C5001" s="83">
        <v>609</v>
      </c>
    </row>
    <row r="5002" spans="1:3" x14ac:dyDescent="0.25">
      <c r="A5002" s="126"/>
      <c r="B5002" s="198" t="s">
        <v>9251</v>
      </c>
    </row>
    <row r="5003" spans="1:3" x14ac:dyDescent="0.25">
      <c r="A5003" s="126"/>
      <c r="B5003" s="68"/>
    </row>
    <row r="5004" spans="1:3" x14ac:dyDescent="0.25">
      <c r="A5004" s="126"/>
      <c r="B5004" s="198" t="s">
        <v>9273</v>
      </c>
    </row>
    <row r="5005" spans="1:3" ht="36" x14ac:dyDescent="0.25">
      <c r="A5005" s="202"/>
      <c r="B5005" s="193" t="s">
        <v>15800</v>
      </c>
      <c r="C5005" s="233"/>
    </row>
    <row r="5006" spans="1:3" ht="31.5" x14ac:dyDescent="0.25">
      <c r="A5006" s="44" t="s">
        <v>10068</v>
      </c>
      <c r="B5006" s="66" t="s">
        <v>9289</v>
      </c>
      <c r="C5006" s="83">
        <v>619</v>
      </c>
    </row>
    <row r="5007" spans="1:3" ht="31.5" x14ac:dyDescent="0.25">
      <c r="A5007" s="44" t="s">
        <v>10069</v>
      </c>
      <c r="B5007" s="66" t="s">
        <v>9291</v>
      </c>
      <c r="C5007" s="83">
        <v>619</v>
      </c>
    </row>
    <row r="5008" spans="1:3" ht="31.5" x14ac:dyDescent="0.25">
      <c r="A5008" s="44" t="s">
        <v>10070</v>
      </c>
      <c r="B5008" s="66" t="s">
        <v>9293</v>
      </c>
      <c r="C5008" s="83">
        <v>619</v>
      </c>
    </row>
    <row r="5009" spans="1:3" ht="31.5" x14ac:dyDescent="0.25">
      <c r="A5009" s="44" t="s">
        <v>10071</v>
      </c>
      <c r="B5009" s="66" t="s">
        <v>9295</v>
      </c>
      <c r="C5009" s="83">
        <v>619</v>
      </c>
    </row>
    <row r="5010" spans="1:3" ht="31.5" x14ac:dyDescent="0.25">
      <c r="A5010" s="44" t="s">
        <v>10072</v>
      </c>
      <c r="B5010" s="66" t="s">
        <v>9297</v>
      </c>
      <c r="C5010" s="83">
        <v>619</v>
      </c>
    </row>
    <row r="5011" spans="1:3" ht="31.5" x14ac:dyDescent="0.25">
      <c r="A5011" s="44" t="s">
        <v>10073</v>
      </c>
      <c r="B5011" s="66" t="s">
        <v>9299</v>
      </c>
      <c r="C5011" s="83">
        <v>619</v>
      </c>
    </row>
    <row r="5012" spans="1:3" ht="31.5" x14ac:dyDescent="0.25">
      <c r="A5012" s="44" t="s">
        <v>10074</v>
      </c>
      <c r="B5012" s="66" t="s">
        <v>9301</v>
      </c>
      <c r="C5012" s="83">
        <v>619</v>
      </c>
    </row>
    <row r="5013" spans="1:3" x14ac:dyDescent="0.25">
      <c r="A5013" s="126"/>
      <c r="B5013" s="198" t="s">
        <v>9251</v>
      </c>
    </row>
    <row r="5014" spans="1:3" x14ac:dyDescent="0.25">
      <c r="A5014" s="126"/>
      <c r="B5014" s="68"/>
    </row>
    <row r="5015" spans="1:3" x14ac:dyDescent="0.25">
      <c r="A5015" s="126"/>
      <c r="B5015" s="198" t="s">
        <v>9273</v>
      </c>
    </row>
    <row r="5016" spans="1:3" ht="36" x14ac:dyDescent="0.25">
      <c r="A5016" s="202"/>
      <c r="B5016" s="193" t="s">
        <v>15801</v>
      </c>
      <c r="C5016" s="233"/>
    </row>
    <row r="5017" spans="1:3" ht="31.5" x14ac:dyDescent="0.25">
      <c r="A5017" s="44" t="s">
        <v>10075</v>
      </c>
      <c r="B5017" s="66" t="s">
        <v>9303</v>
      </c>
      <c r="C5017" s="83">
        <v>629</v>
      </c>
    </row>
    <row r="5018" spans="1:3" ht="31.5" x14ac:dyDescent="0.25">
      <c r="A5018" s="44" t="s">
        <v>9304</v>
      </c>
      <c r="B5018" s="66" t="s">
        <v>9305</v>
      </c>
      <c r="C5018" s="83">
        <v>0</v>
      </c>
    </row>
    <row r="5019" spans="1:3" ht="31.5" x14ac:dyDescent="0.25">
      <c r="A5019" s="44" t="s">
        <v>10076</v>
      </c>
      <c r="B5019" s="66" t="s">
        <v>9307</v>
      </c>
      <c r="C5019" s="83">
        <v>629</v>
      </c>
    </row>
    <row r="5020" spans="1:3" ht="31.5" x14ac:dyDescent="0.25">
      <c r="A5020" s="44" t="s">
        <v>9304</v>
      </c>
      <c r="B5020" s="66" t="s">
        <v>9308</v>
      </c>
      <c r="C5020" s="83">
        <v>0</v>
      </c>
    </row>
    <row r="5021" spans="1:3" ht="31.5" x14ac:dyDescent="0.25">
      <c r="A5021" s="44" t="s">
        <v>10077</v>
      </c>
      <c r="B5021" s="66" t="s">
        <v>9310</v>
      </c>
      <c r="C5021" s="83">
        <v>629</v>
      </c>
    </row>
    <row r="5022" spans="1:3" ht="31.5" x14ac:dyDescent="0.25">
      <c r="A5022" s="44" t="s">
        <v>10078</v>
      </c>
      <c r="B5022" s="66" t="s">
        <v>9312</v>
      </c>
      <c r="C5022" s="83">
        <v>629</v>
      </c>
    </row>
    <row r="5023" spans="1:3" ht="31.5" x14ac:dyDescent="0.25">
      <c r="A5023" s="44" t="s">
        <v>10079</v>
      </c>
      <c r="B5023" s="66" t="s">
        <v>9314</v>
      </c>
      <c r="C5023" s="83">
        <v>629</v>
      </c>
    </row>
    <row r="5024" spans="1:3" x14ac:dyDescent="0.25">
      <c r="A5024" s="194" t="s">
        <v>9315</v>
      </c>
      <c r="B5024" s="139"/>
    </row>
    <row r="5025" spans="1:3" x14ac:dyDescent="0.25">
      <c r="A5025" s="69"/>
      <c r="B5025" s="139"/>
    </row>
    <row r="5026" spans="1:3" ht="18" x14ac:dyDescent="0.25">
      <c r="A5026" s="218"/>
      <c r="B5026" s="219" t="s">
        <v>9320</v>
      </c>
      <c r="C5026" s="233"/>
    </row>
    <row r="5027" spans="1:3" ht="47.25" x14ac:dyDescent="0.25">
      <c r="A5027" s="127" t="s">
        <v>10080</v>
      </c>
      <c r="B5027" s="148" t="s">
        <v>9324</v>
      </c>
      <c r="C5027" s="83">
        <v>699</v>
      </c>
    </row>
    <row r="5028" spans="1:3" x14ac:dyDescent="0.25">
      <c r="A5028" s="71"/>
      <c r="B5028" s="139"/>
    </row>
    <row r="5029" spans="1:3" ht="18" x14ac:dyDescent="0.25">
      <c r="A5029" s="218"/>
      <c r="B5029" s="219" t="s">
        <v>9328</v>
      </c>
      <c r="C5029" s="233"/>
    </row>
    <row r="5030" spans="1:3" ht="31.5" x14ac:dyDescent="0.25">
      <c r="A5030" s="127" t="s">
        <v>10081</v>
      </c>
      <c r="B5030" s="4" t="s">
        <v>9937</v>
      </c>
      <c r="C5030" s="83">
        <v>459</v>
      </c>
    </row>
    <row r="5031" spans="1:3" ht="63" x14ac:dyDescent="0.25">
      <c r="A5031" s="127" t="s">
        <v>10082</v>
      </c>
      <c r="B5031" s="4" t="s">
        <v>9941</v>
      </c>
      <c r="C5031" s="83">
        <v>929</v>
      </c>
    </row>
    <row r="5032" spans="1:3" x14ac:dyDescent="0.25">
      <c r="A5032" s="71"/>
      <c r="B5032" s="139"/>
    </row>
    <row r="5033" spans="1:3" ht="18" x14ac:dyDescent="0.25">
      <c r="A5033" s="218"/>
      <c r="B5033" s="219" t="s">
        <v>9366</v>
      </c>
      <c r="C5033" s="233"/>
    </row>
    <row r="5034" spans="1:3" ht="47.25" x14ac:dyDescent="0.25">
      <c r="A5034" s="22" t="s">
        <v>10083</v>
      </c>
      <c r="B5034" s="4" t="s">
        <v>9367</v>
      </c>
      <c r="C5034" s="83">
        <v>339</v>
      </c>
    </row>
    <row r="5035" spans="1:3" ht="47.25" x14ac:dyDescent="0.25">
      <c r="A5035" s="127" t="s">
        <v>10084</v>
      </c>
      <c r="B5035" s="4" t="s">
        <v>10006</v>
      </c>
      <c r="C5035" s="83">
        <v>249</v>
      </c>
    </row>
    <row r="5036" spans="1:3" x14ac:dyDescent="0.25">
      <c r="A5036" s="128"/>
      <c r="B5036" s="73"/>
    </row>
    <row r="5037" spans="1:3" ht="18" x14ac:dyDescent="0.25">
      <c r="A5037" s="218"/>
      <c r="B5037" s="241" t="s">
        <v>9347</v>
      </c>
      <c r="C5037" s="233"/>
    </row>
    <row r="5038" spans="1:3" ht="31.5" x14ac:dyDescent="0.25">
      <c r="A5038" s="127" t="s">
        <v>10085</v>
      </c>
      <c r="B5038" s="4" t="s">
        <v>9991</v>
      </c>
      <c r="C5038" s="83">
        <v>359</v>
      </c>
    </row>
    <row r="5039" spans="1:3" ht="31.5" x14ac:dyDescent="0.25">
      <c r="A5039" s="127" t="s">
        <v>10086</v>
      </c>
      <c r="B5039" s="4" t="s">
        <v>9993</v>
      </c>
      <c r="C5039" s="83">
        <v>409</v>
      </c>
    </row>
    <row r="5040" spans="1:3" ht="47.25" x14ac:dyDescent="0.25">
      <c r="A5040" s="127" t="s">
        <v>10087</v>
      </c>
      <c r="B5040" s="4" t="s">
        <v>9995</v>
      </c>
      <c r="C5040" s="83">
        <v>329</v>
      </c>
    </row>
    <row r="5041" spans="1:3" ht="31.5" x14ac:dyDescent="0.25">
      <c r="A5041" s="127" t="s">
        <v>10088</v>
      </c>
      <c r="B5041" s="4" t="s">
        <v>9997</v>
      </c>
      <c r="C5041" s="83">
        <v>359</v>
      </c>
    </row>
    <row r="5042" spans="1:3" ht="63" x14ac:dyDescent="0.25">
      <c r="A5042" s="127" t="s">
        <v>10089</v>
      </c>
      <c r="B5042" s="4" t="s">
        <v>9999</v>
      </c>
      <c r="C5042" s="83">
        <v>259</v>
      </c>
    </row>
    <row r="5043" spans="1:3" ht="47.25" x14ac:dyDescent="0.25">
      <c r="A5043" s="74" t="s">
        <v>10090</v>
      </c>
      <c r="B5043" s="4" t="s">
        <v>10001</v>
      </c>
      <c r="C5043" s="83">
        <v>259</v>
      </c>
    </row>
    <row r="5044" spans="1:3" x14ac:dyDescent="0.25">
      <c r="A5044" s="71"/>
      <c r="B5044" s="139"/>
    </row>
    <row r="5045" spans="1:3" ht="36" x14ac:dyDescent="0.25">
      <c r="A5045" s="218"/>
      <c r="B5045" s="219" t="s">
        <v>9388</v>
      </c>
      <c r="C5045" s="233"/>
    </row>
    <row r="5046" spans="1:3" ht="31.5" x14ac:dyDescent="0.25">
      <c r="A5046" s="22" t="s">
        <v>10091</v>
      </c>
      <c r="B5046" s="4" t="s">
        <v>9390</v>
      </c>
      <c r="C5046" s="83">
        <v>379</v>
      </c>
    </row>
    <row r="5047" spans="1:3" x14ac:dyDescent="0.25">
      <c r="A5047" s="71"/>
      <c r="B5047" s="139"/>
    </row>
    <row r="5048" spans="1:3" ht="18" x14ac:dyDescent="0.25">
      <c r="A5048" s="218"/>
      <c r="B5048" s="228" t="s">
        <v>9674</v>
      </c>
      <c r="C5048" s="233"/>
    </row>
    <row r="5049" spans="1:3" ht="47.25" x14ac:dyDescent="0.25">
      <c r="A5049" s="127" t="s">
        <v>10092</v>
      </c>
      <c r="B5049" s="4" t="s">
        <v>10016</v>
      </c>
      <c r="C5049" s="83">
        <v>899</v>
      </c>
    </row>
    <row r="5050" spans="1:3" ht="47.25" x14ac:dyDescent="0.25">
      <c r="A5050" s="127" t="s">
        <v>10093</v>
      </c>
      <c r="B5050" s="4" t="s">
        <v>10018</v>
      </c>
      <c r="C5050" s="83">
        <v>1299</v>
      </c>
    </row>
    <row r="5051" spans="1:3" x14ac:dyDescent="0.25">
      <c r="A5051" s="71"/>
      <c r="B5051" s="139"/>
    </row>
    <row r="5052" spans="1:3" ht="18" x14ac:dyDescent="0.25">
      <c r="A5052" s="218"/>
      <c r="B5052" s="219" t="s">
        <v>10019</v>
      </c>
      <c r="C5052" s="233"/>
    </row>
    <row r="5053" spans="1:3" ht="63" x14ac:dyDescent="0.25">
      <c r="A5053" s="127" t="s">
        <v>10094</v>
      </c>
      <c r="B5053" s="4" t="s">
        <v>10021</v>
      </c>
      <c r="C5053" s="83">
        <v>969</v>
      </c>
    </row>
    <row r="5054" spans="1:3" x14ac:dyDescent="0.25">
      <c r="A5054" s="128"/>
      <c r="B5054" s="73"/>
    </row>
    <row r="5055" spans="1:3" ht="18" x14ac:dyDescent="0.25">
      <c r="A5055" s="177"/>
      <c r="B5055" s="208" t="s">
        <v>10095</v>
      </c>
      <c r="C5055" s="233"/>
    </row>
    <row r="5056" spans="1:3" x14ac:dyDescent="0.25">
      <c r="A5056" s="127" t="s">
        <v>10096</v>
      </c>
      <c r="B5056" s="4" t="s">
        <v>10097</v>
      </c>
      <c r="C5056" s="83">
        <v>479</v>
      </c>
    </row>
    <row r="5057" spans="1:3" x14ac:dyDescent="0.25">
      <c r="A5057" s="128"/>
      <c r="B5057" s="73"/>
    </row>
    <row r="5058" spans="1:3" x14ac:dyDescent="0.25">
      <c r="A5058" s="71"/>
      <c r="B5058" s="212" t="s">
        <v>9581</v>
      </c>
    </row>
    <row r="5059" spans="1:3" ht="36" x14ac:dyDescent="0.25">
      <c r="A5059" s="218"/>
      <c r="B5059" s="219" t="s">
        <v>10022</v>
      </c>
      <c r="C5059" s="233"/>
    </row>
    <row r="5060" spans="1:3" ht="189" x14ac:dyDescent="0.25">
      <c r="A5060" s="127" t="s">
        <v>10098</v>
      </c>
      <c r="B5060" s="4" t="s">
        <v>10024</v>
      </c>
      <c r="C5060" s="83">
        <v>2609</v>
      </c>
    </row>
    <row r="5061" spans="1:3" ht="189" x14ac:dyDescent="0.25">
      <c r="A5061" s="127" t="s">
        <v>10099</v>
      </c>
      <c r="B5061" s="4" t="s">
        <v>10026</v>
      </c>
      <c r="C5061" s="83">
        <v>2609</v>
      </c>
    </row>
    <row r="5062" spans="1:3" x14ac:dyDescent="0.25">
      <c r="A5062" s="71"/>
      <c r="B5062" s="133" t="s">
        <v>10100</v>
      </c>
    </row>
    <row r="5063" spans="1:3" x14ac:dyDescent="0.25">
      <c r="A5063" s="71"/>
      <c r="B5063" s="212" t="s">
        <v>9581</v>
      </c>
    </row>
    <row r="5064" spans="1:3" ht="36" x14ac:dyDescent="0.25">
      <c r="A5064" s="218"/>
      <c r="B5064" s="219" t="s">
        <v>15804</v>
      </c>
      <c r="C5064" s="233"/>
    </row>
    <row r="5065" spans="1:3" ht="47.25" x14ac:dyDescent="0.25">
      <c r="A5065" s="127" t="s">
        <v>10027</v>
      </c>
      <c r="B5065" s="137" t="s">
        <v>10101</v>
      </c>
      <c r="C5065" s="83">
        <v>299.99</v>
      </c>
    </row>
    <row r="5066" spans="1:3" ht="47.25" x14ac:dyDescent="0.25">
      <c r="A5066" s="127" t="s">
        <v>10092</v>
      </c>
      <c r="B5066" s="4" t="s">
        <v>10016</v>
      </c>
      <c r="C5066" s="83">
        <v>899</v>
      </c>
    </row>
    <row r="5067" spans="1:3" ht="47.25" x14ac:dyDescent="0.25">
      <c r="A5067" s="127" t="s">
        <v>10093</v>
      </c>
      <c r="B5067" s="4" t="s">
        <v>10018</v>
      </c>
      <c r="C5067" s="83">
        <v>1299</v>
      </c>
    </row>
    <row r="5068" spans="1:3" x14ac:dyDescent="0.25">
      <c r="A5068" s="127" t="s">
        <v>10102</v>
      </c>
      <c r="B5068" s="4" t="s">
        <v>9587</v>
      </c>
      <c r="C5068" s="83">
        <v>149</v>
      </c>
    </row>
    <row r="5069" spans="1:3" ht="47.25" x14ac:dyDescent="0.25">
      <c r="A5069" s="127" t="s">
        <v>10090</v>
      </c>
      <c r="B5069" s="4" t="s">
        <v>10030</v>
      </c>
      <c r="C5069" s="83">
        <v>259</v>
      </c>
    </row>
    <row r="5070" spans="1:3" x14ac:dyDescent="0.25">
      <c r="A5070" s="127" t="s">
        <v>10087</v>
      </c>
      <c r="B5070" s="4" t="s">
        <v>9588</v>
      </c>
      <c r="C5070" s="83">
        <v>329</v>
      </c>
    </row>
    <row r="5071" spans="1:3" x14ac:dyDescent="0.25">
      <c r="A5071" s="71"/>
      <c r="B5071" s="139"/>
    </row>
    <row r="5072" spans="1:3" x14ac:dyDescent="0.25">
      <c r="A5072" s="71"/>
      <c r="B5072" s="212" t="s">
        <v>9589</v>
      </c>
    </row>
    <row r="5073" spans="1:3" ht="36" x14ac:dyDescent="0.25">
      <c r="A5073" s="218"/>
      <c r="B5073" s="219" t="s">
        <v>10031</v>
      </c>
      <c r="C5073" s="233"/>
    </row>
    <row r="5074" spans="1:3" ht="283.5" x14ac:dyDescent="0.25">
      <c r="A5074" s="127" t="s">
        <v>10103</v>
      </c>
      <c r="B5074" s="4" t="s">
        <v>10033</v>
      </c>
      <c r="C5074" s="83">
        <v>4429</v>
      </c>
    </row>
    <row r="5075" spans="1:3" x14ac:dyDescent="0.25">
      <c r="A5075" s="143"/>
      <c r="B5075" s="133"/>
      <c r="C5075" s="86"/>
    </row>
    <row r="5076" spans="1:3" ht="36" x14ac:dyDescent="0.25">
      <c r="A5076" s="225" t="s">
        <v>9122</v>
      </c>
      <c r="B5076" s="228" t="s">
        <v>9849</v>
      </c>
      <c r="C5076" s="229"/>
    </row>
    <row r="5077" spans="1:3" ht="47.25" x14ac:dyDescent="0.25">
      <c r="A5077" s="127" t="s">
        <v>10104</v>
      </c>
      <c r="B5077" s="4" t="s">
        <v>9684</v>
      </c>
      <c r="C5077" s="83">
        <v>839</v>
      </c>
    </row>
    <row r="5078" spans="1:3" ht="47.25" x14ac:dyDescent="0.25">
      <c r="A5078" s="127" t="s">
        <v>10105</v>
      </c>
      <c r="B5078" s="4" t="s">
        <v>9686</v>
      </c>
      <c r="C5078" s="83">
        <v>799</v>
      </c>
    </row>
    <row r="5079" spans="1:3" ht="47.25" x14ac:dyDescent="0.25">
      <c r="A5079" s="127" t="s">
        <v>10106</v>
      </c>
      <c r="B5079" s="4" t="s">
        <v>9853</v>
      </c>
      <c r="C5079" s="83">
        <v>899</v>
      </c>
    </row>
    <row r="5080" spans="1:3" ht="47.25" x14ac:dyDescent="0.25">
      <c r="A5080" s="127" t="s">
        <v>10107</v>
      </c>
      <c r="B5080" s="4" t="s">
        <v>9690</v>
      </c>
      <c r="C5080" s="83">
        <v>819</v>
      </c>
    </row>
    <row r="5081" spans="1:3" ht="47.25" x14ac:dyDescent="0.25">
      <c r="A5081" s="127" t="s">
        <v>10108</v>
      </c>
      <c r="B5081" s="4" t="s">
        <v>9692</v>
      </c>
      <c r="C5081" s="83">
        <v>859</v>
      </c>
    </row>
    <row r="5082" spans="1:3" ht="47.25" x14ac:dyDescent="0.25">
      <c r="A5082" s="127" t="s">
        <v>10109</v>
      </c>
      <c r="B5082" s="4" t="s">
        <v>9694</v>
      </c>
      <c r="C5082" s="83">
        <v>819</v>
      </c>
    </row>
    <row r="5083" spans="1:3" ht="18" x14ac:dyDescent="0.25">
      <c r="A5083" s="225" t="s">
        <v>9136</v>
      </c>
      <c r="B5083" s="238"/>
      <c r="C5083" s="233"/>
    </row>
    <row r="5084" spans="1:3" ht="47.25" x14ac:dyDescent="0.25">
      <c r="A5084" s="127" t="s">
        <v>10110</v>
      </c>
      <c r="B5084" s="4" t="s">
        <v>9696</v>
      </c>
      <c r="C5084" s="83">
        <v>959</v>
      </c>
    </row>
    <row r="5085" spans="1:3" ht="47.25" x14ac:dyDescent="0.25">
      <c r="A5085" s="127" t="s">
        <v>10111</v>
      </c>
      <c r="B5085" s="4" t="s">
        <v>9859</v>
      </c>
      <c r="C5085" s="83">
        <v>919</v>
      </c>
    </row>
    <row r="5086" spans="1:3" ht="63" x14ac:dyDescent="0.25">
      <c r="A5086" s="127" t="s">
        <v>10112</v>
      </c>
      <c r="B5086" s="4" t="s">
        <v>9861</v>
      </c>
      <c r="C5086" s="83">
        <v>1009</v>
      </c>
    </row>
    <row r="5087" spans="1:3" ht="63" x14ac:dyDescent="0.25">
      <c r="A5087" s="127" t="s">
        <v>10113</v>
      </c>
      <c r="B5087" s="4" t="s">
        <v>9863</v>
      </c>
      <c r="C5087" s="83">
        <v>969</v>
      </c>
    </row>
    <row r="5088" spans="1:3" ht="47.25" x14ac:dyDescent="0.25">
      <c r="A5088" s="127" t="s">
        <v>10114</v>
      </c>
      <c r="B5088" s="4" t="s">
        <v>9865</v>
      </c>
      <c r="C5088" s="83">
        <v>999</v>
      </c>
    </row>
    <row r="5089" spans="1:3" ht="63" x14ac:dyDescent="0.25">
      <c r="A5089" s="127" t="s">
        <v>10115</v>
      </c>
      <c r="B5089" s="4" t="s">
        <v>9702</v>
      </c>
      <c r="C5089" s="83">
        <v>959</v>
      </c>
    </row>
    <row r="5090" spans="1:3" x14ac:dyDescent="0.25">
      <c r="A5090" s="71"/>
      <c r="B5090" s="139"/>
    </row>
    <row r="5091" spans="1:3" ht="36" x14ac:dyDescent="0.25">
      <c r="A5091" s="225" t="s">
        <v>9122</v>
      </c>
      <c r="B5091" s="228" t="s">
        <v>9149</v>
      </c>
      <c r="C5091" s="233"/>
    </row>
    <row r="5092" spans="1:3" ht="47.25" x14ac:dyDescent="0.25">
      <c r="A5092" s="127" t="s">
        <v>10116</v>
      </c>
      <c r="B5092" s="4" t="s">
        <v>9704</v>
      </c>
      <c r="C5092" s="83">
        <v>999</v>
      </c>
    </row>
    <row r="5093" spans="1:3" ht="47.25" x14ac:dyDescent="0.25">
      <c r="A5093" s="127" t="s">
        <v>10117</v>
      </c>
      <c r="B5093" s="4" t="s">
        <v>9706</v>
      </c>
      <c r="C5093" s="83">
        <v>959</v>
      </c>
    </row>
    <row r="5094" spans="1:3" ht="47.25" x14ac:dyDescent="0.25">
      <c r="A5094" s="127" t="s">
        <v>10118</v>
      </c>
      <c r="B5094" s="4" t="s">
        <v>9708</v>
      </c>
      <c r="C5094" s="83">
        <v>1049</v>
      </c>
    </row>
    <row r="5095" spans="1:3" ht="47.25" x14ac:dyDescent="0.25">
      <c r="A5095" s="127" t="s">
        <v>10119</v>
      </c>
      <c r="B5095" s="4" t="s">
        <v>9710</v>
      </c>
      <c r="C5095" s="83">
        <v>979</v>
      </c>
    </row>
    <row r="5096" spans="1:3" ht="47.25" x14ac:dyDescent="0.25">
      <c r="A5096" s="127" t="s">
        <v>10120</v>
      </c>
      <c r="B5096" s="4" t="s">
        <v>9712</v>
      </c>
      <c r="C5096" s="83">
        <v>1009</v>
      </c>
    </row>
    <row r="5097" spans="1:3" ht="47.25" x14ac:dyDescent="0.25">
      <c r="A5097" s="127" t="s">
        <v>10121</v>
      </c>
      <c r="B5097" s="4" t="s">
        <v>9714</v>
      </c>
      <c r="C5097" s="83">
        <v>969</v>
      </c>
    </row>
    <row r="5098" spans="1:3" ht="18" x14ac:dyDescent="0.25">
      <c r="A5098" s="225" t="s">
        <v>9162</v>
      </c>
      <c r="B5098" s="238"/>
      <c r="C5098" s="233"/>
    </row>
    <row r="5099" spans="1:3" ht="47.25" x14ac:dyDescent="0.25">
      <c r="A5099" s="127" t="s">
        <v>10122</v>
      </c>
      <c r="B5099" s="4" t="s">
        <v>9716</v>
      </c>
      <c r="C5099" s="83">
        <v>1099</v>
      </c>
    </row>
    <row r="5100" spans="1:3" ht="47.25" x14ac:dyDescent="0.25">
      <c r="A5100" s="127" t="s">
        <v>10123</v>
      </c>
      <c r="B5100" s="4" t="s">
        <v>9718</v>
      </c>
      <c r="C5100" s="83">
        <v>1059</v>
      </c>
    </row>
    <row r="5101" spans="1:3" ht="63" x14ac:dyDescent="0.25">
      <c r="A5101" s="127" t="s">
        <v>10124</v>
      </c>
      <c r="B5101" s="4" t="s">
        <v>9875</v>
      </c>
      <c r="C5101" s="83">
        <v>1149</v>
      </c>
    </row>
    <row r="5102" spans="1:3" ht="63" x14ac:dyDescent="0.25">
      <c r="A5102" s="127" t="s">
        <v>10125</v>
      </c>
      <c r="B5102" s="4" t="s">
        <v>9722</v>
      </c>
      <c r="C5102" s="83">
        <v>1109</v>
      </c>
    </row>
    <row r="5103" spans="1:3" ht="63" x14ac:dyDescent="0.25">
      <c r="A5103" s="127" t="s">
        <v>10126</v>
      </c>
      <c r="B5103" s="4" t="s">
        <v>9724</v>
      </c>
      <c r="C5103" s="83">
        <v>1139</v>
      </c>
    </row>
    <row r="5104" spans="1:3" ht="63" x14ac:dyDescent="0.25">
      <c r="A5104" s="127" t="s">
        <v>10127</v>
      </c>
      <c r="B5104" s="4" t="s">
        <v>9726</v>
      </c>
      <c r="C5104" s="83">
        <v>1099</v>
      </c>
    </row>
    <row r="5105" spans="1:3" x14ac:dyDescent="0.25">
      <c r="A5105" s="194" t="s">
        <v>9199</v>
      </c>
      <c r="B5105" s="139"/>
    </row>
    <row r="5106" spans="1:3" x14ac:dyDescent="0.25">
      <c r="A5106" s="69"/>
      <c r="B5106" s="139"/>
    </row>
    <row r="5107" spans="1:3" ht="72" x14ac:dyDescent="0.25">
      <c r="A5107" s="225" t="s">
        <v>9200</v>
      </c>
      <c r="B5107" s="219" t="s">
        <v>15805</v>
      </c>
      <c r="C5107" s="233"/>
    </row>
    <row r="5108" spans="1:3" ht="110.25" x14ac:dyDescent="0.25">
      <c r="A5108" s="127" t="s">
        <v>10128</v>
      </c>
      <c r="B5108" s="4" t="s">
        <v>9880</v>
      </c>
      <c r="C5108" s="83">
        <v>1279</v>
      </c>
    </row>
    <row r="5109" spans="1:3" ht="110.25" x14ac:dyDescent="0.25">
      <c r="A5109" s="127" t="s">
        <v>10129</v>
      </c>
      <c r="B5109" s="4" t="s">
        <v>10130</v>
      </c>
      <c r="C5109" s="83">
        <v>1279</v>
      </c>
    </row>
    <row r="5110" spans="1:3" ht="110.25" x14ac:dyDescent="0.25">
      <c r="A5110" s="127" t="s">
        <v>10131</v>
      </c>
      <c r="B5110" s="4" t="s">
        <v>9884</v>
      </c>
      <c r="C5110" s="83">
        <v>1279</v>
      </c>
    </row>
    <row r="5111" spans="1:3" ht="110.25" x14ac:dyDescent="0.25">
      <c r="A5111" s="127" t="s">
        <v>10132</v>
      </c>
      <c r="B5111" s="4" t="s">
        <v>9886</v>
      </c>
      <c r="C5111" s="83">
        <v>1279</v>
      </c>
    </row>
    <row r="5112" spans="1:3" x14ac:dyDescent="0.25">
      <c r="A5112" s="128"/>
      <c r="B5112" s="73"/>
    </row>
    <row r="5113" spans="1:3" ht="36" x14ac:dyDescent="0.25">
      <c r="A5113" s="186" t="s">
        <v>9217</v>
      </c>
      <c r="B5113" s="193" t="s">
        <v>9887</v>
      </c>
      <c r="C5113" s="224"/>
    </row>
    <row r="5114" spans="1:3" ht="94.5" x14ac:dyDescent="0.25">
      <c r="A5114" s="127" t="s">
        <v>10133</v>
      </c>
      <c r="B5114" s="66" t="s">
        <v>9889</v>
      </c>
      <c r="C5114" s="83">
        <v>599</v>
      </c>
    </row>
    <row r="5115" spans="1:3" ht="78.75" x14ac:dyDescent="0.25">
      <c r="A5115" s="127" t="s">
        <v>10134</v>
      </c>
      <c r="B5115" s="66" t="s">
        <v>9891</v>
      </c>
      <c r="C5115" s="83">
        <v>599</v>
      </c>
    </row>
    <row r="5116" spans="1:3" ht="94.5" x14ac:dyDescent="0.25">
      <c r="A5116" s="127" t="s">
        <v>10135</v>
      </c>
      <c r="B5116" s="66" t="s">
        <v>9893</v>
      </c>
      <c r="C5116" s="83">
        <v>599</v>
      </c>
    </row>
    <row r="5117" spans="1:3" ht="78.75" x14ac:dyDescent="0.25">
      <c r="A5117" s="127" t="s">
        <v>10136</v>
      </c>
      <c r="B5117" s="66" t="s">
        <v>9895</v>
      </c>
      <c r="C5117" s="83">
        <v>599</v>
      </c>
    </row>
    <row r="5118" spans="1:3" ht="94.5" x14ac:dyDescent="0.25">
      <c r="A5118" s="127" t="s">
        <v>10137</v>
      </c>
      <c r="B5118" s="66" t="s">
        <v>9897</v>
      </c>
      <c r="C5118" s="83">
        <v>599</v>
      </c>
    </row>
    <row r="5119" spans="1:3" x14ac:dyDescent="0.25">
      <c r="A5119" s="71"/>
      <c r="B5119" s="139"/>
    </row>
    <row r="5120" spans="1:3" x14ac:dyDescent="0.25">
      <c r="A5120" s="211"/>
      <c r="B5120" s="235" t="s">
        <v>10138</v>
      </c>
      <c r="C5120" s="82"/>
    </row>
    <row r="5121" spans="1:3" ht="18" x14ac:dyDescent="0.25">
      <c r="A5121" s="218"/>
      <c r="B5121" s="219" t="s">
        <v>9246</v>
      </c>
      <c r="C5121" s="233"/>
    </row>
    <row r="5122" spans="1:3" ht="47.25" x14ac:dyDescent="0.25">
      <c r="A5122" s="127" t="s">
        <v>10139</v>
      </c>
      <c r="B5122" s="4" t="s">
        <v>9248</v>
      </c>
      <c r="C5122" s="83">
        <v>579</v>
      </c>
    </row>
    <row r="5123" spans="1:3" ht="78.75" x14ac:dyDescent="0.25">
      <c r="A5123" s="22" t="s">
        <v>10140</v>
      </c>
      <c r="B5123" s="4" t="s">
        <v>15587</v>
      </c>
      <c r="C5123" s="83">
        <v>959</v>
      </c>
    </row>
    <row r="5124" spans="1:3" ht="47.25" x14ac:dyDescent="0.25">
      <c r="A5124" s="127" t="s">
        <v>10141</v>
      </c>
      <c r="B5124" s="4" t="s">
        <v>9634</v>
      </c>
      <c r="C5124" s="83">
        <v>579</v>
      </c>
    </row>
    <row r="5125" spans="1:3" x14ac:dyDescent="0.25">
      <c r="A5125" s="71"/>
      <c r="B5125" s="212" t="s">
        <v>9251</v>
      </c>
    </row>
    <row r="5126" spans="1:3" x14ac:dyDescent="0.25">
      <c r="A5126" s="71"/>
      <c r="B5126" s="239"/>
    </row>
    <row r="5127" spans="1:3" x14ac:dyDescent="0.25">
      <c r="A5127" s="71"/>
      <c r="B5127" s="235" t="s">
        <v>10138</v>
      </c>
    </row>
    <row r="5128" spans="1:3" ht="54" x14ac:dyDescent="0.25">
      <c r="A5128" s="218"/>
      <c r="B5128" s="219" t="s">
        <v>9252</v>
      </c>
      <c r="C5128" s="233"/>
    </row>
    <row r="5129" spans="1:3" ht="31.5" x14ac:dyDescent="0.25">
      <c r="A5129" s="127" t="s">
        <v>10142</v>
      </c>
      <c r="B5129" s="4" t="s">
        <v>9638</v>
      </c>
      <c r="C5129" s="83">
        <v>949</v>
      </c>
    </row>
    <row r="5130" spans="1:3" ht="31.5" x14ac:dyDescent="0.25">
      <c r="A5130" s="127" t="s">
        <v>10143</v>
      </c>
      <c r="B5130" s="4" t="s">
        <v>9256</v>
      </c>
      <c r="C5130" s="83">
        <v>949</v>
      </c>
    </row>
    <row r="5131" spans="1:3" ht="31.5" x14ac:dyDescent="0.25">
      <c r="A5131" s="127" t="s">
        <v>10144</v>
      </c>
      <c r="B5131" s="4" t="s">
        <v>9258</v>
      </c>
      <c r="C5131" s="83">
        <v>1029</v>
      </c>
    </row>
    <row r="5132" spans="1:3" x14ac:dyDescent="0.25">
      <c r="A5132" s="71"/>
      <c r="B5132" s="212" t="s">
        <v>9251</v>
      </c>
    </row>
    <row r="5133" spans="1:3" x14ac:dyDescent="0.25">
      <c r="A5133" s="71"/>
      <c r="B5133" s="239"/>
    </row>
    <row r="5134" spans="1:3" x14ac:dyDescent="0.25">
      <c r="A5134" s="71"/>
      <c r="B5134" s="235" t="s">
        <v>10138</v>
      </c>
    </row>
    <row r="5135" spans="1:3" ht="54" x14ac:dyDescent="0.25">
      <c r="A5135" s="218"/>
      <c r="B5135" s="219" t="s">
        <v>9259</v>
      </c>
      <c r="C5135" s="233"/>
    </row>
    <row r="5136" spans="1:3" ht="31.5" x14ac:dyDescent="0.25">
      <c r="A5136" s="127" t="s">
        <v>10145</v>
      </c>
      <c r="B5136" s="148" t="s">
        <v>9261</v>
      </c>
      <c r="C5136" s="83">
        <v>1179</v>
      </c>
    </row>
    <row r="5137" spans="1:3" ht="31.5" x14ac:dyDescent="0.25">
      <c r="A5137" s="127" t="s">
        <v>10146</v>
      </c>
      <c r="B5137" s="148" t="s">
        <v>9263</v>
      </c>
      <c r="C5137" s="83">
        <v>1179</v>
      </c>
    </row>
    <row r="5138" spans="1:3" ht="31.5" x14ac:dyDescent="0.25">
      <c r="A5138" s="127" t="s">
        <v>10147</v>
      </c>
      <c r="B5138" s="148" t="s">
        <v>9265</v>
      </c>
      <c r="C5138" s="83">
        <v>1339</v>
      </c>
    </row>
    <row r="5139" spans="1:3" x14ac:dyDescent="0.25">
      <c r="A5139" s="71"/>
      <c r="B5139" s="212" t="s">
        <v>9251</v>
      </c>
    </row>
    <row r="5140" spans="1:3" x14ac:dyDescent="0.25">
      <c r="A5140" s="71"/>
      <c r="B5140" s="131"/>
    </row>
    <row r="5141" spans="1:3" ht="54" x14ac:dyDescent="0.25">
      <c r="A5141" s="200"/>
      <c r="B5141" s="193" t="s">
        <v>9266</v>
      </c>
      <c r="C5141" s="233"/>
    </row>
    <row r="5142" spans="1:3" ht="31.5" x14ac:dyDescent="0.25">
      <c r="A5142" s="44" t="s">
        <v>10148</v>
      </c>
      <c r="B5142" s="66" t="s">
        <v>9268</v>
      </c>
      <c r="C5142" s="83">
        <v>1459</v>
      </c>
    </row>
    <row r="5143" spans="1:3" ht="31.5" x14ac:dyDescent="0.25">
      <c r="A5143" s="44" t="s">
        <v>10149</v>
      </c>
      <c r="B5143" s="66" t="s">
        <v>9270</v>
      </c>
      <c r="C5143" s="83">
        <v>1459</v>
      </c>
    </row>
    <row r="5144" spans="1:3" ht="31.5" x14ac:dyDescent="0.25">
      <c r="A5144" s="44" t="s">
        <v>10150</v>
      </c>
      <c r="B5144" s="66" t="s">
        <v>9272</v>
      </c>
      <c r="C5144" s="83">
        <v>1689</v>
      </c>
    </row>
    <row r="5145" spans="1:3" x14ac:dyDescent="0.25">
      <c r="A5145" s="129"/>
      <c r="B5145" s="72"/>
    </row>
    <row r="5146" spans="1:3" x14ac:dyDescent="0.25">
      <c r="A5146" s="71"/>
      <c r="B5146" s="235" t="s">
        <v>10138</v>
      </c>
    </row>
    <row r="5147" spans="1:3" x14ac:dyDescent="0.25">
      <c r="A5147" s="126"/>
      <c r="B5147" s="198" t="s">
        <v>9273</v>
      </c>
    </row>
    <row r="5148" spans="1:3" ht="36" x14ac:dyDescent="0.25">
      <c r="A5148" s="202"/>
      <c r="B5148" s="193" t="s">
        <v>15799</v>
      </c>
      <c r="C5148" s="233"/>
    </row>
    <row r="5149" spans="1:3" ht="31.5" x14ac:dyDescent="0.25">
      <c r="A5149" s="44" t="s">
        <v>10151</v>
      </c>
      <c r="B5149" s="66" t="s">
        <v>9275</v>
      </c>
      <c r="C5149" s="83">
        <v>609</v>
      </c>
    </row>
    <row r="5150" spans="1:3" ht="31.5" x14ac:dyDescent="0.25">
      <c r="A5150" s="44" t="s">
        <v>10152</v>
      </c>
      <c r="B5150" s="66" t="s">
        <v>9277</v>
      </c>
      <c r="C5150" s="83">
        <v>609</v>
      </c>
    </row>
    <row r="5151" spans="1:3" ht="31.5" x14ac:dyDescent="0.25">
      <c r="A5151" s="44" t="s">
        <v>10153</v>
      </c>
      <c r="B5151" s="66" t="s">
        <v>9279</v>
      </c>
      <c r="C5151" s="83">
        <v>609</v>
      </c>
    </row>
    <row r="5152" spans="1:3" ht="31.5" x14ac:dyDescent="0.25">
      <c r="A5152" s="44" t="s">
        <v>10154</v>
      </c>
      <c r="B5152" s="66" t="s">
        <v>9281</v>
      </c>
      <c r="C5152" s="83">
        <v>609</v>
      </c>
    </row>
    <row r="5153" spans="1:3" ht="31.5" x14ac:dyDescent="0.25">
      <c r="A5153" s="44" t="s">
        <v>10155</v>
      </c>
      <c r="B5153" s="66" t="s">
        <v>9283</v>
      </c>
      <c r="C5153" s="83">
        <v>609</v>
      </c>
    </row>
    <row r="5154" spans="1:3" ht="31.5" x14ac:dyDescent="0.25">
      <c r="A5154" s="44" t="s">
        <v>10156</v>
      </c>
      <c r="B5154" s="66" t="s">
        <v>9285</v>
      </c>
      <c r="C5154" s="83">
        <v>609</v>
      </c>
    </row>
    <row r="5155" spans="1:3" ht="31.5" x14ac:dyDescent="0.25">
      <c r="A5155" s="44" t="s">
        <v>10157</v>
      </c>
      <c r="B5155" s="66" t="s">
        <v>9287</v>
      </c>
      <c r="C5155" s="83">
        <v>609</v>
      </c>
    </row>
    <row r="5156" spans="1:3" x14ac:dyDescent="0.25">
      <c r="A5156" s="126"/>
      <c r="B5156" s="198" t="s">
        <v>9251</v>
      </c>
    </row>
    <row r="5157" spans="1:3" x14ac:dyDescent="0.25">
      <c r="A5157" s="126"/>
      <c r="B5157" s="198"/>
    </row>
    <row r="5158" spans="1:3" x14ac:dyDescent="0.25">
      <c r="A5158" s="126"/>
      <c r="B5158" s="235" t="s">
        <v>10138</v>
      </c>
    </row>
    <row r="5159" spans="1:3" x14ac:dyDescent="0.25">
      <c r="A5159" s="126"/>
      <c r="B5159" s="198" t="s">
        <v>9273</v>
      </c>
    </row>
    <row r="5160" spans="1:3" ht="36" x14ac:dyDescent="0.25">
      <c r="A5160" s="202"/>
      <c r="B5160" s="193" t="s">
        <v>15800</v>
      </c>
      <c r="C5160" s="233"/>
    </row>
    <row r="5161" spans="1:3" ht="31.5" x14ac:dyDescent="0.25">
      <c r="A5161" s="44" t="s">
        <v>10158</v>
      </c>
      <c r="B5161" s="66" t="s">
        <v>9289</v>
      </c>
      <c r="C5161" s="83">
        <v>619</v>
      </c>
    </row>
    <row r="5162" spans="1:3" ht="31.5" x14ac:dyDescent="0.25">
      <c r="A5162" s="44" t="s">
        <v>10159</v>
      </c>
      <c r="B5162" s="66" t="s">
        <v>9291</v>
      </c>
      <c r="C5162" s="83">
        <v>619</v>
      </c>
    </row>
    <row r="5163" spans="1:3" ht="31.5" x14ac:dyDescent="0.25">
      <c r="A5163" s="44" t="s">
        <v>10160</v>
      </c>
      <c r="B5163" s="66" t="s">
        <v>9293</v>
      </c>
      <c r="C5163" s="83">
        <v>619</v>
      </c>
    </row>
    <row r="5164" spans="1:3" ht="31.5" x14ac:dyDescent="0.25">
      <c r="A5164" s="44" t="s">
        <v>10161</v>
      </c>
      <c r="B5164" s="66" t="s">
        <v>9295</v>
      </c>
      <c r="C5164" s="83">
        <v>619</v>
      </c>
    </row>
    <row r="5165" spans="1:3" ht="31.5" x14ac:dyDescent="0.25">
      <c r="A5165" s="44" t="s">
        <v>10162</v>
      </c>
      <c r="B5165" s="66" t="s">
        <v>9297</v>
      </c>
      <c r="C5165" s="83">
        <v>619</v>
      </c>
    </row>
    <row r="5166" spans="1:3" ht="31.5" x14ac:dyDescent="0.25">
      <c r="A5166" s="44" t="s">
        <v>10163</v>
      </c>
      <c r="B5166" s="66" t="s">
        <v>9299</v>
      </c>
      <c r="C5166" s="83">
        <v>619</v>
      </c>
    </row>
    <row r="5167" spans="1:3" ht="31.5" x14ac:dyDescent="0.25">
      <c r="A5167" s="44" t="s">
        <v>10164</v>
      </c>
      <c r="B5167" s="66" t="s">
        <v>9301</v>
      </c>
      <c r="C5167" s="83">
        <v>619</v>
      </c>
    </row>
    <row r="5168" spans="1:3" x14ac:dyDescent="0.25">
      <c r="A5168" s="126"/>
      <c r="B5168" s="198" t="s">
        <v>9251</v>
      </c>
    </row>
    <row r="5169" spans="1:3" x14ac:dyDescent="0.25">
      <c r="A5169" s="126"/>
      <c r="B5169" s="198"/>
    </row>
    <row r="5170" spans="1:3" x14ac:dyDescent="0.25">
      <c r="A5170" s="126"/>
      <c r="B5170" s="198" t="s">
        <v>9273</v>
      </c>
    </row>
    <row r="5171" spans="1:3" ht="36" x14ac:dyDescent="0.25">
      <c r="A5171" s="202"/>
      <c r="B5171" s="193" t="s">
        <v>15801</v>
      </c>
      <c r="C5171" s="233"/>
    </row>
    <row r="5172" spans="1:3" ht="31.5" x14ac:dyDescent="0.25">
      <c r="A5172" s="44" t="s">
        <v>10165</v>
      </c>
      <c r="B5172" s="66" t="s">
        <v>9303</v>
      </c>
      <c r="C5172" s="83">
        <v>629</v>
      </c>
    </row>
    <row r="5173" spans="1:3" ht="31.5" x14ac:dyDescent="0.25">
      <c r="A5173" s="44" t="s">
        <v>9304</v>
      </c>
      <c r="B5173" s="66" t="s">
        <v>9305</v>
      </c>
      <c r="C5173" s="83">
        <v>0</v>
      </c>
    </row>
    <row r="5174" spans="1:3" ht="31.5" x14ac:dyDescent="0.25">
      <c r="A5174" s="44" t="s">
        <v>10166</v>
      </c>
      <c r="B5174" s="66" t="s">
        <v>9307</v>
      </c>
      <c r="C5174" s="83">
        <v>629</v>
      </c>
    </row>
    <row r="5175" spans="1:3" ht="31.5" x14ac:dyDescent="0.25">
      <c r="A5175" s="44" t="s">
        <v>9304</v>
      </c>
      <c r="B5175" s="66" t="s">
        <v>9308</v>
      </c>
      <c r="C5175" s="83">
        <v>0</v>
      </c>
    </row>
    <row r="5176" spans="1:3" ht="31.5" x14ac:dyDescent="0.25">
      <c r="A5176" s="44" t="s">
        <v>10167</v>
      </c>
      <c r="B5176" s="66" t="s">
        <v>9310</v>
      </c>
      <c r="C5176" s="83">
        <v>629</v>
      </c>
    </row>
    <row r="5177" spans="1:3" ht="31.5" x14ac:dyDescent="0.25">
      <c r="A5177" s="44" t="s">
        <v>10168</v>
      </c>
      <c r="B5177" s="66" t="s">
        <v>9312</v>
      </c>
      <c r="C5177" s="83">
        <v>629</v>
      </c>
    </row>
    <row r="5178" spans="1:3" ht="31.5" x14ac:dyDescent="0.25">
      <c r="A5178" s="44" t="s">
        <v>10169</v>
      </c>
      <c r="B5178" s="66" t="s">
        <v>9314</v>
      </c>
      <c r="C5178" s="83">
        <v>629</v>
      </c>
    </row>
    <row r="5179" spans="1:3" x14ac:dyDescent="0.25">
      <c r="A5179" s="194" t="s">
        <v>9315</v>
      </c>
      <c r="B5179" s="73"/>
    </row>
    <row r="5180" spans="1:3" x14ac:dyDescent="0.25">
      <c r="A5180" s="69"/>
      <c r="B5180" s="73"/>
    </row>
    <row r="5181" spans="1:3" x14ac:dyDescent="0.25">
      <c r="A5181" s="71"/>
      <c r="B5181" s="235" t="s">
        <v>10170</v>
      </c>
    </row>
    <row r="5182" spans="1:3" ht="18" x14ac:dyDescent="0.25">
      <c r="A5182" s="218"/>
      <c r="B5182" s="219" t="s">
        <v>9328</v>
      </c>
      <c r="C5182" s="233"/>
    </row>
    <row r="5183" spans="1:3" ht="31.5" x14ac:dyDescent="0.25">
      <c r="A5183" s="127" t="s">
        <v>10171</v>
      </c>
      <c r="B5183" s="4" t="s">
        <v>9937</v>
      </c>
      <c r="C5183" s="83">
        <v>459</v>
      </c>
    </row>
    <row r="5184" spans="1:3" x14ac:dyDescent="0.25">
      <c r="A5184" s="128"/>
      <c r="B5184" s="73"/>
    </row>
    <row r="5185" spans="1:3" x14ac:dyDescent="0.25">
      <c r="A5185" s="71"/>
      <c r="B5185" s="235" t="s">
        <v>10172</v>
      </c>
    </row>
    <row r="5186" spans="1:3" ht="18" x14ac:dyDescent="0.25">
      <c r="A5186" s="218"/>
      <c r="B5186" s="219" t="s">
        <v>9246</v>
      </c>
      <c r="C5186" s="233"/>
    </row>
    <row r="5187" spans="1:3" ht="47.25" x14ac:dyDescent="0.25">
      <c r="A5187" s="127" t="s">
        <v>10173</v>
      </c>
      <c r="B5187" s="4" t="s">
        <v>9248</v>
      </c>
      <c r="C5187" s="83">
        <v>579</v>
      </c>
    </row>
    <row r="5188" spans="1:3" ht="94.5" x14ac:dyDescent="0.25">
      <c r="A5188" s="22" t="s">
        <v>10174</v>
      </c>
      <c r="B5188" s="4" t="s">
        <v>15589</v>
      </c>
      <c r="C5188" s="83">
        <v>959</v>
      </c>
    </row>
    <row r="5189" spans="1:3" ht="47.25" x14ac:dyDescent="0.25">
      <c r="A5189" s="127" t="s">
        <v>10175</v>
      </c>
      <c r="B5189" s="4" t="s">
        <v>9634</v>
      </c>
      <c r="C5189" s="83">
        <v>579</v>
      </c>
    </row>
    <row r="5190" spans="1:3" x14ac:dyDescent="0.25">
      <c r="A5190" s="71"/>
      <c r="B5190" s="212" t="s">
        <v>9251</v>
      </c>
    </row>
    <row r="5191" spans="1:3" x14ac:dyDescent="0.25">
      <c r="A5191" s="71"/>
      <c r="B5191" s="239"/>
    </row>
    <row r="5192" spans="1:3" x14ac:dyDescent="0.25">
      <c r="A5192" s="71"/>
      <c r="B5192" s="235" t="s">
        <v>10172</v>
      </c>
    </row>
    <row r="5193" spans="1:3" ht="54" x14ac:dyDescent="0.25">
      <c r="A5193" s="218"/>
      <c r="B5193" s="219" t="s">
        <v>9252</v>
      </c>
      <c r="C5193" s="233"/>
    </row>
    <row r="5194" spans="1:3" ht="31.5" x14ac:dyDescent="0.25">
      <c r="A5194" s="127" t="s">
        <v>10176</v>
      </c>
      <c r="B5194" s="4" t="s">
        <v>9638</v>
      </c>
      <c r="C5194" s="83">
        <v>949</v>
      </c>
    </row>
    <row r="5195" spans="1:3" ht="31.5" x14ac:dyDescent="0.25">
      <c r="A5195" s="127" t="s">
        <v>10177</v>
      </c>
      <c r="B5195" s="4" t="s">
        <v>9256</v>
      </c>
      <c r="C5195" s="83">
        <v>949</v>
      </c>
    </row>
    <row r="5196" spans="1:3" ht="31.5" x14ac:dyDescent="0.25">
      <c r="A5196" s="127" t="s">
        <v>10178</v>
      </c>
      <c r="B5196" s="4" t="s">
        <v>9258</v>
      </c>
      <c r="C5196" s="83">
        <v>1029</v>
      </c>
    </row>
    <row r="5197" spans="1:3" x14ac:dyDescent="0.25">
      <c r="A5197" s="71"/>
      <c r="B5197" s="212" t="s">
        <v>9251</v>
      </c>
    </row>
    <row r="5198" spans="1:3" x14ac:dyDescent="0.25">
      <c r="A5198" s="71"/>
      <c r="B5198" s="239"/>
    </row>
    <row r="5199" spans="1:3" x14ac:dyDescent="0.25">
      <c r="A5199" s="71"/>
      <c r="B5199" s="235" t="s">
        <v>10172</v>
      </c>
    </row>
    <row r="5200" spans="1:3" ht="54" x14ac:dyDescent="0.25">
      <c r="A5200" s="218"/>
      <c r="B5200" s="219" t="s">
        <v>9259</v>
      </c>
      <c r="C5200" s="233"/>
    </row>
    <row r="5201" spans="1:3" ht="31.5" x14ac:dyDescent="0.25">
      <c r="A5201" s="127" t="s">
        <v>10179</v>
      </c>
      <c r="B5201" s="148" t="s">
        <v>9261</v>
      </c>
      <c r="C5201" s="83">
        <v>1179</v>
      </c>
    </row>
    <row r="5202" spans="1:3" ht="31.5" x14ac:dyDescent="0.25">
      <c r="A5202" s="127" t="s">
        <v>10180</v>
      </c>
      <c r="B5202" s="148" t="s">
        <v>9263</v>
      </c>
      <c r="C5202" s="83">
        <v>1179</v>
      </c>
    </row>
    <row r="5203" spans="1:3" ht="31.5" x14ac:dyDescent="0.25">
      <c r="A5203" s="127" t="s">
        <v>10181</v>
      </c>
      <c r="B5203" s="148" t="s">
        <v>9265</v>
      </c>
      <c r="C5203" s="83">
        <v>1339</v>
      </c>
    </row>
    <row r="5204" spans="1:3" x14ac:dyDescent="0.25">
      <c r="A5204" s="71"/>
      <c r="B5204" s="212" t="s">
        <v>9251</v>
      </c>
    </row>
    <row r="5205" spans="1:3" x14ac:dyDescent="0.25">
      <c r="A5205" s="71"/>
      <c r="B5205" s="212"/>
    </row>
    <row r="5206" spans="1:3" x14ac:dyDescent="0.25">
      <c r="A5206" s="71"/>
      <c r="B5206" s="235" t="s">
        <v>10172</v>
      </c>
    </row>
    <row r="5207" spans="1:3" ht="54" x14ac:dyDescent="0.25">
      <c r="A5207" s="200"/>
      <c r="B5207" s="193" t="s">
        <v>9266</v>
      </c>
      <c r="C5207" s="233"/>
    </row>
    <row r="5208" spans="1:3" ht="31.5" x14ac:dyDescent="0.25">
      <c r="A5208" s="44" t="s">
        <v>10182</v>
      </c>
      <c r="B5208" s="66" t="s">
        <v>9268</v>
      </c>
      <c r="C5208" s="83">
        <v>1459</v>
      </c>
    </row>
    <row r="5209" spans="1:3" ht="31.5" x14ac:dyDescent="0.25">
      <c r="A5209" s="44" t="s">
        <v>10183</v>
      </c>
      <c r="B5209" s="66" t="s">
        <v>9270</v>
      </c>
      <c r="C5209" s="83">
        <v>1459</v>
      </c>
    </row>
    <row r="5210" spans="1:3" ht="31.5" x14ac:dyDescent="0.25">
      <c r="A5210" s="44" t="s">
        <v>10184</v>
      </c>
      <c r="B5210" s="66" t="s">
        <v>9272</v>
      </c>
      <c r="C5210" s="83">
        <v>1689</v>
      </c>
    </row>
    <row r="5211" spans="1:3" x14ac:dyDescent="0.25">
      <c r="A5211" s="129"/>
      <c r="B5211" s="72"/>
    </row>
    <row r="5212" spans="1:3" x14ac:dyDescent="0.25">
      <c r="A5212" s="71"/>
      <c r="B5212" s="235" t="s">
        <v>10172</v>
      </c>
    </row>
    <row r="5213" spans="1:3" x14ac:dyDescent="0.25">
      <c r="A5213" s="126"/>
      <c r="B5213" s="198" t="s">
        <v>9273</v>
      </c>
    </row>
    <row r="5214" spans="1:3" ht="36" x14ac:dyDescent="0.25">
      <c r="A5214" s="202"/>
      <c r="B5214" s="193" t="s">
        <v>15799</v>
      </c>
      <c r="C5214" s="233"/>
    </row>
    <row r="5215" spans="1:3" ht="31.5" x14ac:dyDescent="0.25">
      <c r="A5215" s="44" t="s">
        <v>10185</v>
      </c>
      <c r="B5215" s="66" t="s">
        <v>9275</v>
      </c>
      <c r="C5215" s="83">
        <v>609</v>
      </c>
    </row>
    <row r="5216" spans="1:3" ht="31.5" x14ac:dyDescent="0.25">
      <c r="A5216" s="44" t="s">
        <v>10186</v>
      </c>
      <c r="B5216" s="66" t="s">
        <v>9277</v>
      </c>
      <c r="C5216" s="83">
        <v>609</v>
      </c>
    </row>
    <row r="5217" spans="1:3" ht="31.5" x14ac:dyDescent="0.25">
      <c r="A5217" s="44" t="s">
        <v>10187</v>
      </c>
      <c r="B5217" s="66" t="s">
        <v>9279</v>
      </c>
      <c r="C5217" s="83">
        <v>609</v>
      </c>
    </row>
    <row r="5218" spans="1:3" ht="31.5" x14ac:dyDescent="0.25">
      <c r="A5218" s="44" t="s">
        <v>10188</v>
      </c>
      <c r="B5218" s="66" t="s">
        <v>9281</v>
      </c>
      <c r="C5218" s="83">
        <v>609</v>
      </c>
    </row>
    <row r="5219" spans="1:3" ht="31.5" x14ac:dyDescent="0.25">
      <c r="A5219" s="44" t="s">
        <v>10189</v>
      </c>
      <c r="B5219" s="66" t="s">
        <v>9283</v>
      </c>
      <c r="C5219" s="83">
        <v>609</v>
      </c>
    </row>
    <row r="5220" spans="1:3" ht="31.5" x14ac:dyDescent="0.25">
      <c r="A5220" s="44" t="s">
        <v>10190</v>
      </c>
      <c r="B5220" s="66" t="s">
        <v>9285</v>
      </c>
      <c r="C5220" s="83">
        <v>609</v>
      </c>
    </row>
    <row r="5221" spans="1:3" ht="31.5" x14ac:dyDescent="0.25">
      <c r="A5221" s="44" t="s">
        <v>10191</v>
      </c>
      <c r="B5221" s="66" t="s">
        <v>9287</v>
      </c>
      <c r="C5221" s="83">
        <v>609</v>
      </c>
    </row>
    <row r="5222" spans="1:3" x14ac:dyDescent="0.25">
      <c r="A5222" s="126"/>
      <c r="B5222" s="198" t="s">
        <v>9251</v>
      </c>
    </row>
    <row r="5223" spans="1:3" x14ac:dyDescent="0.25">
      <c r="A5223" s="126"/>
      <c r="B5223" s="198"/>
    </row>
    <row r="5224" spans="1:3" x14ac:dyDescent="0.25">
      <c r="A5224" s="126"/>
      <c r="B5224" s="235" t="s">
        <v>10172</v>
      </c>
    </row>
    <row r="5225" spans="1:3" x14ac:dyDescent="0.25">
      <c r="A5225" s="126"/>
      <c r="B5225" s="198" t="s">
        <v>9273</v>
      </c>
    </row>
    <row r="5226" spans="1:3" ht="36" x14ac:dyDescent="0.25">
      <c r="A5226" s="202"/>
      <c r="B5226" s="193" t="s">
        <v>15800</v>
      </c>
      <c r="C5226" s="233"/>
    </row>
    <row r="5227" spans="1:3" ht="31.5" x14ac:dyDescent="0.25">
      <c r="A5227" s="44" t="s">
        <v>10192</v>
      </c>
      <c r="B5227" s="66" t="s">
        <v>9289</v>
      </c>
      <c r="C5227" s="83">
        <v>619</v>
      </c>
    </row>
    <row r="5228" spans="1:3" ht="31.5" x14ac:dyDescent="0.25">
      <c r="A5228" s="44" t="s">
        <v>10193</v>
      </c>
      <c r="B5228" s="66" t="s">
        <v>9291</v>
      </c>
      <c r="C5228" s="83">
        <v>619</v>
      </c>
    </row>
    <row r="5229" spans="1:3" ht="31.5" x14ac:dyDescent="0.25">
      <c r="A5229" s="44" t="s">
        <v>10194</v>
      </c>
      <c r="B5229" s="66" t="s">
        <v>9293</v>
      </c>
      <c r="C5229" s="83">
        <v>619</v>
      </c>
    </row>
    <row r="5230" spans="1:3" ht="31.5" x14ac:dyDescent="0.25">
      <c r="A5230" s="44" t="s">
        <v>10195</v>
      </c>
      <c r="B5230" s="66" t="s">
        <v>9295</v>
      </c>
      <c r="C5230" s="83">
        <v>619</v>
      </c>
    </row>
    <row r="5231" spans="1:3" ht="31.5" x14ac:dyDescent="0.25">
      <c r="A5231" s="44" t="s">
        <v>10196</v>
      </c>
      <c r="B5231" s="66" t="s">
        <v>9297</v>
      </c>
      <c r="C5231" s="83">
        <v>619</v>
      </c>
    </row>
    <row r="5232" spans="1:3" ht="31.5" x14ac:dyDescent="0.25">
      <c r="A5232" s="44" t="s">
        <v>10197</v>
      </c>
      <c r="B5232" s="66" t="s">
        <v>9299</v>
      </c>
      <c r="C5232" s="83">
        <v>619</v>
      </c>
    </row>
    <row r="5233" spans="1:3" ht="31.5" x14ac:dyDescent="0.25">
      <c r="A5233" s="44" t="s">
        <v>10198</v>
      </c>
      <c r="B5233" s="66" t="s">
        <v>9301</v>
      </c>
      <c r="C5233" s="83">
        <v>619</v>
      </c>
    </row>
    <row r="5234" spans="1:3" x14ac:dyDescent="0.25">
      <c r="A5234" s="126"/>
      <c r="B5234" s="198" t="s">
        <v>9251</v>
      </c>
    </row>
    <row r="5235" spans="1:3" x14ac:dyDescent="0.25">
      <c r="A5235" s="126"/>
      <c r="B5235" s="198"/>
    </row>
    <row r="5236" spans="1:3" x14ac:dyDescent="0.25">
      <c r="A5236" s="126"/>
      <c r="B5236" s="235" t="s">
        <v>10172</v>
      </c>
    </row>
    <row r="5237" spans="1:3" x14ac:dyDescent="0.25">
      <c r="A5237" s="126"/>
      <c r="B5237" s="198" t="s">
        <v>9273</v>
      </c>
    </row>
    <row r="5238" spans="1:3" ht="36" x14ac:dyDescent="0.25">
      <c r="A5238" s="202"/>
      <c r="B5238" s="193" t="s">
        <v>15801</v>
      </c>
      <c r="C5238" s="233"/>
    </row>
    <row r="5239" spans="1:3" ht="31.5" x14ac:dyDescent="0.25">
      <c r="A5239" s="44" t="s">
        <v>10199</v>
      </c>
      <c r="B5239" s="66" t="s">
        <v>9303</v>
      </c>
      <c r="C5239" s="83">
        <v>629</v>
      </c>
    </row>
    <row r="5240" spans="1:3" ht="31.5" x14ac:dyDescent="0.25">
      <c r="A5240" s="44" t="s">
        <v>9304</v>
      </c>
      <c r="B5240" s="66" t="s">
        <v>9305</v>
      </c>
      <c r="C5240" s="83">
        <v>0</v>
      </c>
    </row>
    <row r="5241" spans="1:3" ht="31.5" x14ac:dyDescent="0.25">
      <c r="A5241" s="44" t="s">
        <v>10200</v>
      </c>
      <c r="B5241" s="66" t="s">
        <v>9307</v>
      </c>
      <c r="C5241" s="83">
        <v>629</v>
      </c>
    </row>
    <row r="5242" spans="1:3" ht="31.5" x14ac:dyDescent="0.25">
      <c r="A5242" s="44" t="s">
        <v>9304</v>
      </c>
      <c r="B5242" s="66" t="s">
        <v>9308</v>
      </c>
      <c r="C5242" s="83">
        <v>0</v>
      </c>
    </row>
    <row r="5243" spans="1:3" ht="31.5" x14ac:dyDescent="0.25">
      <c r="A5243" s="44" t="s">
        <v>10201</v>
      </c>
      <c r="B5243" s="66" t="s">
        <v>9310</v>
      </c>
      <c r="C5243" s="83">
        <v>629</v>
      </c>
    </row>
    <row r="5244" spans="1:3" ht="31.5" x14ac:dyDescent="0.25">
      <c r="A5244" s="44" t="s">
        <v>10202</v>
      </c>
      <c r="B5244" s="66" t="s">
        <v>9312</v>
      </c>
      <c r="C5244" s="83">
        <v>629</v>
      </c>
    </row>
    <row r="5245" spans="1:3" ht="31.5" x14ac:dyDescent="0.25">
      <c r="A5245" s="44" t="s">
        <v>10203</v>
      </c>
      <c r="B5245" s="66" t="s">
        <v>9314</v>
      </c>
      <c r="C5245" s="83">
        <v>629</v>
      </c>
    </row>
    <row r="5246" spans="1:3" x14ac:dyDescent="0.25">
      <c r="A5246" s="194" t="s">
        <v>9315</v>
      </c>
      <c r="B5246" s="73"/>
    </row>
    <row r="5247" spans="1:3" x14ac:dyDescent="0.25">
      <c r="A5247" s="69"/>
      <c r="B5247" s="73"/>
    </row>
    <row r="5248" spans="1:3" x14ac:dyDescent="0.25">
      <c r="A5248" s="71"/>
      <c r="B5248" s="235" t="s">
        <v>10204</v>
      </c>
    </row>
    <row r="5249" spans="1:3" ht="18" x14ac:dyDescent="0.25">
      <c r="A5249" s="218"/>
      <c r="B5249" s="219" t="s">
        <v>9328</v>
      </c>
      <c r="C5249" s="233"/>
    </row>
    <row r="5250" spans="1:3" ht="31.5" x14ac:dyDescent="0.25">
      <c r="A5250" s="127" t="s">
        <v>10205</v>
      </c>
      <c r="B5250" s="4" t="s">
        <v>9937</v>
      </c>
      <c r="C5250" s="83">
        <v>459</v>
      </c>
    </row>
    <row r="5251" spans="1:3" x14ac:dyDescent="0.25">
      <c r="A5251" s="128"/>
      <c r="B5251" s="73"/>
    </row>
    <row r="5252" spans="1:3" x14ac:dyDescent="0.25">
      <c r="A5252" s="211"/>
      <c r="B5252" s="235" t="s">
        <v>10206</v>
      </c>
      <c r="C5252" s="82"/>
    </row>
    <row r="5253" spans="1:3" ht="18" x14ac:dyDescent="0.25">
      <c r="A5253" s="216"/>
      <c r="B5253" s="219" t="s">
        <v>9347</v>
      </c>
      <c r="C5253" s="230"/>
    </row>
    <row r="5254" spans="1:3" ht="31.5" x14ac:dyDescent="0.25">
      <c r="A5254" s="22" t="s">
        <v>10207</v>
      </c>
      <c r="B5254" s="4" t="s">
        <v>9991</v>
      </c>
      <c r="C5254" s="83">
        <v>359</v>
      </c>
    </row>
    <row r="5255" spans="1:3" ht="31.5" x14ac:dyDescent="0.25">
      <c r="A5255" s="22" t="s">
        <v>10208</v>
      </c>
      <c r="B5255" s="4" t="s">
        <v>9993</v>
      </c>
      <c r="C5255" s="83">
        <v>409</v>
      </c>
    </row>
    <row r="5256" spans="1:3" ht="47.25" x14ac:dyDescent="0.25">
      <c r="A5256" s="22" t="s">
        <v>10209</v>
      </c>
      <c r="B5256" s="4" t="s">
        <v>9995</v>
      </c>
      <c r="C5256" s="83">
        <v>329</v>
      </c>
    </row>
    <row r="5257" spans="1:3" ht="31.5" x14ac:dyDescent="0.25">
      <c r="A5257" s="127" t="s">
        <v>10210</v>
      </c>
      <c r="B5257" s="4" t="s">
        <v>9997</v>
      </c>
      <c r="C5257" s="83">
        <v>359</v>
      </c>
    </row>
    <row r="5258" spans="1:3" ht="47.25" x14ac:dyDescent="0.25">
      <c r="A5258" s="127" t="s">
        <v>10211</v>
      </c>
      <c r="B5258" s="4" t="s">
        <v>10030</v>
      </c>
      <c r="C5258" s="83">
        <v>259</v>
      </c>
    </row>
    <row r="5259" spans="1:3" ht="47.25" x14ac:dyDescent="0.25">
      <c r="A5259" s="74" t="s">
        <v>10212</v>
      </c>
      <c r="B5259" s="4" t="s">
        <v>10001</v>
      </c>
      <c r="C5259" s="83">
        <v>259</v>
      </c>
    </row>
    <row r="5260" spans="1:3" x14ac:dyDescent="0.25">
      <c r="B5260" s="73"/>
    </row>
    <row r="5261" spans="1:3" ht="18" x14ac:dyDescent="0.25">
      <c r="A5261" s="218"/>
      <c r="B5261" s="219" t="s">
        <v>9366</v>
      </c>
      <c r="C5261" s="233"/>
    </row>
    <row r="5262" spans="1:3" ht="47.25" x14ac:dyDescent="0.25">
      <c r="A5262" s="22" t="s">
        <v>10213</v>
      </c>
      <c r="B5262" s="4" t="s">
        <v>9367</v>
      </c>
      <c r="C5262" s="83">
        <v>339</v>
      </c>
    </row>
    <row r="5263" spans="1:3" ht="47.25" x14ac:dyDescent="0.25">
      <c r="A5263" s="127" t="s">
        <v>10214</v>
      </c>
      <c r="B5263" s="4" t="s">
        <v>10006</v>
      </c>
      <c r="C5263" s="83">
        <v>249</v>
      </c>
    </row>
    <row r="5264" spans="1:3" x14ac:dyDescent="0.25">
      <c r="A5264" s="71"/>
      <c r="B5264" s="139"/>
    </row>
    <row r="5265" spans="1:3" ht="36" x14ac:dyDescent="0.25">
      <c r="A5265" s="218"/>
      <c r="B5265" s="219" t="s">
        <v>9388</v>
      </c>
      <c r="C5265" s="233"/>
    </row>
    <row r="5266" spans="1:3" ht="31.5" x14ac:dyDescent="0.25">
      <c r="A5266" s="22" t="s">
        <v>10215</v>
      </c>
      <c r="B5266" s="4" t="s">
        <v>9390</v>
      </c>
      <c r="C5266" s="83">
        <v>379</v>
      </c>
    </row>
    <row r="5267" spans="1:3" x14ac:dyDescent="0.25">
      <c r="A5267" s="71"/>
      <c r="B5267" s="139"/>
    </row>
    <row r="5268" spans="1:3" ht="18" x14ac:dyDescent="0.25">
      <c r="A5268" s="218"/>
      <c r="B5268" s="228" t="s">
        <v>10009</v>
      </c>
      <c r="C5268" s="233"/>
    </row>
    <row r="5269" spans="1:3" ht="18" x14ac:dyDescent="0.25">
      <c r="A5269" s="218"/>
      <c r="B5269" s="228" t="s">
        <v>10010</v>
      </c>
      <c r="C5269" s="233"/>
    </row>
    <row r="5270" spans="1:3" ht="18" x14ac:dyDescent="0.25">
      <c r="A5270" s="218"/>
      <c r="B5270" s="207" t="s">
        <v>10216</v>
      </c>
      <c r="C5270" s="233"/>
    </row>
    <row r="5271" spans="1:3" ht="78.75" x14ac:dyDescent="0.25">
      <c r="A5271" s="22" t="s">
        <v>10217</v>
      </c>
      <c r="B5271" s="4" t="s">
        <v>10218</v>
      </c>
      <c r="C5271" s="83">
        <v>89</v>
      </c>
    </row>
    <row r="5272" spans="1:3" x14ac:dyDescent="0.25">
      <c r="A5272" s="71"/>
      <c r="B5272" s="139"/>
    </row>
    <row r="5273" spans="1:3" ht="18" x14ac:dyDescent="0.25">
      <c r="A5273" s="218"/>
      <c r="B5273" s="228" t="s">
        <v>9674</v>
      </c>
      <c r="C5273" s="233"/>
    </row>
    <row r="5274" spans="1:3" ht="18" x14ac:dyDescent="0.25">
      <c r="A5274" s="218"/>
      <c r="B5274" s="207" t="s">
        <v>10014</v>
      </c>
      <c r="C5274" s="233"/>
    </row>
    <row r="5275" spans="1:3" ht="47.25" x14ac:dyDescent="0.25">
      <c r="A5275" s="127" t="s">
        <v>10219</v>
      </c>
      <c r="B5275" s="4" t="s">
        <v>10016</v>
      </c>
      <c r="C5275" s="83">
        <v>899</v>
      </c>
    </row>
    <row r="5276" spans="1:3" ht="47.25" x14ac:dyDescent="0.25">
      <c r="A5276" s="127" t="s">
        <v>10220</v>
      </c>
      <c r="B5276" s="4" t="s">
        <v>10018</v>
      </c>
      <c r="C5276" s="83">
        <v>1299</v>
      </c>
    </row>
    <row r="5277" spans="1:3" x14ac:dyDescent="0.25">
      <c r="A5277" s="71"/>
      <c r="B5277" s="139"/>
    </row>
    <row r="5278" spans="1:3" ht="18" x14ac:dyDescent="0.25">
      <c r="A5278" s="218"/>
      <c r="B5278" s="219" t="s">
        <v>9457</v>
      </c>
      <c r="C5278" s="233"/>
    </row>
    <row r="5279" spans="1:3" ht="18" x14ac:dyDescent="0.25">
      <c r="A5279" s="218"/>
      <c r="B5279" s="207" t="s">
        <v>10221</v>
      </c>
      <c r="C5279" s="233"/>
    </row>
    <row r="5280" spans="1:3" ht="47.25" x14ac:dyDescent="0.25">
      <c r="A5280" s="44" t="s">
        <v>10222</v>
      </c>
      <c r="B5280" s="4" t="s">
        <v>10223</v>
      </c>
      <c r="C5280" s="83">
        <v>969</v>
      </c>
    </row>
    <row r="5281" spans="1:3" x14ac:dyDescent="0.25">
      <c r="A5281" s="71"/>
      <c r="B5281" s="139"/>
    </row>
    <row r="5282" spans="1:3" x14ac:dyDescent="0.25">
      <c r="A5282" s="71"/>
      <c r="B5282" s="212" t="s">
        <v>9581</v>
      </c>
    </row>
    <row r="5283" spans="1:3" ht="36" x14ac:dyDescent="0.25">
      <c r="A5283" s="218"/>
      <c r="B5283" s="219" t="s">
        <v>10022</v>
      </c>
      <c r="C5283" s="233"/>
    </row>
    <row r="5284" spans="1:3" ht="189" x14ac:dyDescent="0.25">
      <c r="A5284" s="127" t="s">
        <v>10224</v>
      </c>
      <c r="B5284" s="4" t="s">
        <v>10225</v>
      </c>
      <c r="C5284" s="83">
        <v>2609</v>
      </c>
    </row>
    <row r="5285" spans="1:3" ht="189" x14ac:dyDescent="0.25">
      <c r="A5285" s="127" t="s">
        <v>10226</v>
      </c>
      <c r="B5285" s="4" t="s">
        <v>10227</v>
      </c>
      <c r="C5285" s="83">
        <v>2609</v>
      </c>
    </row>
    <row r="5286" spans="1:3" x14ac:dyDescent="0.25">
      <c r="A5286" s="71"/>
      <c r="B5286" s="139"/>
    </row>
    <row r="5287" spans="1:3" x14ac:dyDescent="0.25">
      <c r="A5287" s="71"/>
      <c r="B5287" s="212" t="s">
        <v>9581</v>
      </c>
    </row>
    <row r="5288" spans="1:3" ht="36" x14ac:dyDescent="0.25">
      <c r="A5288" s="218"/>
      <c r="B5288" s="219" t="s">
        <v>15804</v>
      </c>
      <c r="C5288" s="233"/>
    </row>
    <row r="5289" spans="1:3" ht="47.25" x14ac:dyDescent="0.25">
      <c r="A5289" s="127" t="s">
        <v>10027</v>
      </c>
      <c r="B5289" s="137" t="s">
        <v>10228</v>
      </c>
      <c r="C5289" s="83">
        <v>299.99</v>
      </c>
    </row>
    <row r="5290" spans="1:3" ht="47.25" x14ac:dyDescent="0.25">
      <c r="A5290" s="127" t="s">
        <v>10219</v>
      </c>
      <c r="B5290" s="4" t="s">
        <v>10016</v>
      </c>
      <c r="C5290" s="83">
        <v>899</v>
      </c>
    </row>
    <row r="5291" spans="1:3" ht="47.25" x14ac:dyDescent="0.25">
      <c r="A5291" s="127" t="s">
        <v>10220</v>
      </c>
      <c r="B5291" s="4" t="s">
        <v>10018</v>
      </c>
      <c r="C5291" s="83">
        <v>1299</v>
      </c>
    </row>
    <row r="5292" spans="1:3" x14ac:dyDescent="0.25">
      <c r="A5292" s="127" t="s">
        <v>10229</v>
      </c>
      <c r="B5292" s="4" t="s">
        <v>9587</v>
      </c>
      <c r="C5292" s="83">
        <v>149</v>
      </c>
    </row>
    <row r="5293" spans="1:3" x14ac:dyDescent="0.25">
      <c r="A5293" s="127" t="s">
        <v>10212</v>
      </c>
      <c r="B5293" s="4" t="s">
        <v>10230</v>
      </c>
      <c r="C5293" s="83">
        <v>259</v>
      </c>
    </row>
    <row r="5294" spans="1:3" x14ac:dyDescent="0.25">
      <c r="A5294" s="127" t="s">
        <v>10209</v>
      </c>
      <c r="B5294" s="4" t="s">
        <v>9588</v>
      </c>
      <c r="C5294" s="83">
        <v>329</v>
      </c>
    </row>
    <row r="5295" spans="1:3" x14ac:dyDescent="0.25">
      <c r="A5295" s="71"/>
      <c r="B5295" s="139"/>
    </row>
    <row r="5296" spans="1:3" x14ac:dyDescent="0.25">
      <c r="A5296" s="211"/>
      <c r="B5296" s="212" t="s">
        <v>9589</v>
      </c>
      <c r="C5296" s="82"/>
    </row>
    <row r="5297" spans="1:3" ht="36" x14ac:dyDescent="0.25">
      <c r="A5297" s="218"/>
      <c r="B5297" s="219" t="s">
        <v>10031</v>
      </c>
      <c r="C5297" s="233"/>
    </row>
    <row r="5298" spans="1:3" ht="220.5" x14ac:dyDescent="0.25">
      <c r="A5298" s="127" t="s">
        <v>10231</v>
      </c>
      <c r="B5298" s="4" t="s">
        <v>10232</v>
      </c>
      <c r="C5298" s="83">
        <v>4429</v>
      </c>
    </row>
    <row r="5299" spans="1:3" x14ac:dyDescent="0.25">
      <c r="B5299" s="133"/>
    </row>
    <row r="5300" spans="1:3" ht="36" x14ac:dyDescent="0.25">
      <c r="A5300" s="225" t="s">
        <v>9122</v>
      </c>
      <c r="B5300" s="228" t="s">
        <v>9849</v>
      </c>
      <c r="C5300" s="229"/>
    </row>
    <row r="5301" spans="1:3" ht="47.25" x14ac:dyDescent="0.25">
      <c r="A5301" s="127" t="s">
        <v>10233</v>
      </c>
      <c r="B5301" s="4" t="s">
        <v>9684</v>
      </c>
      <c r="C5301" s="83">
        <v>839</v>
      </c>
    </row>
    <row r="5302" spans="1:3" ht="47.25" x14ac:dyDescent="0.25">
      <c r="A5302" s="127" t="s">
        <v>10234</v>
      </c>
      <c r="B5302" s="4" t="s">
        <v>9686</v>
      </c>
      <c r="C5302" s="83">
        <v>799</v>
      </c>
    </row>
    <row r="5303" spans="1:3" ht="47.25" x14ac:dyDescent="0.25">
      <c r="A5303" s="127" t="s">
        <v>10235</v>
      </c>
      <c r="B5303" s="4" t="s">
        <v>9853</v>
      </c>
      <c r="C5303" s="83">
        <v>899</v>
      </c>
    </row>
    <row r="5304" spans="1:3" ht="47.25" x14ac:dyDescent="0.25">
      <c r="A5304" s="127" t="s">
        <v>10236</v>
      </c>
      <c r="B5304" s="4" t="s">
        <v>9690</v>
      </c>
      <c r="C5304" s="83">
        <v>819</v>
      </c>
    </row>
    <row r="5305" spans="1:3" ht="47.25" x14ac:dyDescent="0.25">
      <c r="A5305" s="127" t="s">
        <v>10237</v>
      </c>
      <c r="B5305" s="4" t="s">
        <v>9692</v>
      </c>
      <c r="C5305" s="83">
        <v>859</v>
      </c>
    </row>
    <row r="5306" spans="1:3" ht="47.25" x14ac:dyDescent="0.25">
      <c r="A5306" s="127" t="s">
        <v>10238</v>
      </c>
      <c r="B5306" s="4" t="s">
        <v>9694</v>
      </c>
      <c r="C5306" s="83">
        <v>819</v>
      </c>
    </row>
    <row r="5307" spans="1:3" ht="18" x14ac:dyDescent="0.25">
      <c r="A5307" s="225" t="s">
        <v>9136</v>
      </c>
      <c r="B5307" s="238"/>
      <c r="C5307" s="233"/>
    </row>
    <row r="5308" spans="1:3" ht="47.25" x14ac:dyDescent="0.25">
      <c r="A5308" s="127" t="s">
        <v>10239</v>
      </c>
      <c r="B5308" s="4" t="s">
        <v>9696</v>
      </c>
      <c r="C5308" s="83">
        <v>959</v>
      </c>
    </row>
    <row r="5309" spans="1:3" ht="47.25" x14ac:dyDescent="0.25">
      <c r="A5309" s="127" t="s">
        <v>10240</v>
      </c>
      <c r="B5309" s="4" t="s">
        <v>9859</v>
      </c>
      <c r="C5309" s="83">
        <v>919</v>
      </c>
    </row>
    <row r="5310" spans="1:3" ht="63" x14ac:dyDescent="0.25">
      <c r="A5310" s="127" t="s">
        <v>10241</v>
      </c>
      <c r="B5310" s="4" t="s">
        <v>10242</v>
      </c>
      <c r="C5310" s="83">
        <v>1009</v>
      </c>
    </row>
    <row r="5311" spans="1:3" ht="63" x14ac:dyDescent="0.25">
      <c r="A5311" s="127" t="s">
        <v>10243</v>
      </c>
      <c r="B5311" s="4" t="s">
        <v>9700</v>
      </c>
      <c r="C5311" s="83">
        <v>969</v>
      </c>
    </row>
    <row r="5312" spans="1:3" ht="63" x14ac:dyDescent="0.25">
      <c r="A5312" s="127" t="s">
        <v>10244</v>
      </c>
      <c r="B5312" s="4" t="s">
        <v>10245</v>
      </c>
      <c r="C5312" s="83">
        <v>999</v>
      </c>
    </row>
    <row r="5313" spans="1:3" ht="63" x14ac:dyDescent="0.25">
      <c r="A5313" s="127" t="s">
        <v>10246</v>
      </c>
      <c r="B5313" s="4" t="s">
        <v>9702</v>
      </c>
      <c r="C5313" s="83">
        <v>959</v>
      </c>
    </row>
    <row r="5314" spans="1:3" x14ac:dyDescent="0.25">
      <c r="A5314" s="71"/>
      <c r="B5314" s="139"/>
    </row>
    <row r="5315" spans="1:3" ht="36" x14ac:dyDescent="0.25">
      <c r="A5315" s="225" t="s">
        <v>9122</v>
      </c>
      <c r="B5315" s="228" t="s">
        <v>9149</v>
      </c>
      <c r="C5315" s="233"/>
    </row>
    <row r="5316" spans="1:3" ht="47.25" x14ac:dyDescent="0.25">
      <c r="A5316" s="127" t="s">
        <v>10247</v>
      </c>
      <c r="B5316" s="4" t="s">
        <v>9704</v>
      </c>
      <c r="C5316" s="83">
        <v>999</v>
      </c>
    </row>
    <row r="5317" spans="1:3" ht="47.25" x14ac:dyDescent="0.25">
      <c r="A5317" s="127" t="s">
        <v>10248</v>
      </c>
      <c r="B5317" s="4" t="s">
        <v>9706</v>
      </c>
      <c r="C5317" s="83">
        <v>959</v>
      </c>
    </row>
    <row r="5318" spans="1:3" ht="47.25" x14ac:dyDescent="0.25">
      <c r="A5318" s="127" t="s">
        <v>10249</v>
      </c>
      <c r="B5318" s="4" t="s">
        <v>9708</v>
      </c>
      <c r="C5318" s="83">
        <v>1049</v>
      </c>
    </row>
    <row r="5319" spans="1:3" ht="47.25" x14ac:dyDescent="0.25">
      <c r="A5319" s="127" t="s">
        <v>10250</v>
      </c>
      <c r="B5319" s="4" t="s">
        <v>9710</v>
      </c>
      <c r="C5319" s="83">
        <v>979</v>
      </c>
    </row>
    <row r="5320" spans="1:3" ht="47.25" x14ac:dyDescent="0.25">
      <c r="A5320" s="127" t="s">
        <v>10251</v>
      </c>
      <c r="B5320" s="4" t="s">
        <v>9712</v>
      </c>
      <c r="C5320" s="83">
        <v>1009</v>
      </c>
    </row>
    <row r="5321" spans="1:3" ht="47.25" x14ac:dyDescent="0.25">
      <c r="A5321" s="127" t="s">
        <v>10252</v>
      </c>
      <c r="B5321" s="4" t="s">
        <v>9714</v>
      </c>
      <c r="C5321" s="83">
        <v>969</v>
      </c>
    </row>
    <row r="5322" spans="1:3" ht="18" x14ac:dyDescent="0.25">
      <c r="A5322" s="225" t="s">
        <v>9162</v>
      </c>
      <c r="B5322" s="238"/>
      <c r="C5322" s="233"/>
    </row>
    <row r="5323" spans="1:3" ht="47.25" x14ac:dyDescent="0.25">
      <c r="A5323" s="127" t="s">
        <v>10253</v>
      </c>
      <c r="B5323" s="4" t="s">
        <v>9716</v>
      </c>
      <c r="C5323" s="83">
        <v>1099</v>
      </c>
    </row>
    <row r="5324" spans="1:3" ht="47.25" x14ac:dyDescent="0.25">
      <c r="A5324" s="127" t="s">
        <v>10254</v>
      </c>
      <c r="B5324" s="4" t="s">
        <v>9718</v>
      </c>
      <c r="C5324" s="83">
        <v>1059</v>
      </c>
    </row>
    <row r="5325" spans="1:3" ht="63" x14ac:dyDescent="0.25">
      <c r="A5325" s="127" t="s">
        <v>10255</v>
      </c>
      <c r="B5325" s="4" t="s">
        <v>9875</v>
      </c>
      <c r="C5325" s="83">
        <v>1149</v>
      </c>
    </row>
    <row r="5326" spans="1:3" ht="63" x14ac:dyDescent="0.25">
      <c r="A5326" s="127" t="s">
        <v>10256</v>
      </c>
      <c r="B5326" s="4" t="s">
        <v>9722</v>
      </c>
      <c r="C5326" s="83">
        <v>1109</v>
      </c>
    </row>
    <row r="5327" spans="1:3" ht="63" x14ac:dyDescent="0.25">
      <c r="A5327" s="127" t="s">
        <v>10257</v>
      </c>
      <c r="B5327" s="4" t="s">
        <v>9724</v>
      </c>
      <c r="C5327" s="83">
        <v>1139</v>
      </c>
    </row>
    <row r="5328" spans="1:3" ht="63" x14ac:dyDescent="0.25">
      <c r="A5328" s="127" t="s">
        <v>10258</v>
      </c>
      <c r="B5328" s="4" t="s">
        <v>9726</v>
      </c>
      <c r="C5328" s="83">
        <v>1099</v>
      </c>
    </row>
    <row r="5329" spans="1:3" x14ac:dyDescent="0.25">
      <c r="A5329" s="71"/>
      <c r="B5329" s="139"/>
    </row>
    <row r="5330" spans="1:3" ht="36" x14ac:dyDescent="0.25">
      <c r="A5330" s="225" t="s">
        <v>9122</v>
      </c>
      <c r="B5330" s="228" t="s">
        <v>9175</v>
      </c>
      <c r="C5330" s="233"/>
    </row>
    <row r="5331" spans="1:3" ht="47.25" x14ac:dyDescent="0.25">
      <c r="A5331" s="127" t="s">
        <v>10259</v>
      </c>
      <c r="B5331" s="4" t="s">
        <v>9728</v>
      </c>
      <c r="C5331" s="83">
        <v>999</v>
      </c>
    </row>
    <row r="5332" spans="1:3" ht="47.25" x14ac:dyDescent="0.25">
      <c r="A5332" s="127" t="s">
        <v>10260</v>
      </c>
      <c r="B5332" s="4" t="s">
        <v>9730</v>
      </c>
      <c r="C5332" s="83">
        <v>959</v>
      </c>
    </row>
    <row r="5333" spans="1:3" ht="47.25" x14ac:dyDescent="0.25">
      <c r="A5333" s="127" t="s">
        <v>10261</v>
      </c>
      <c r="B5333" s="4" t="s">
        <v>9732</v>
      </c>
      <c r="C5333" s="83">
        <v>1049</v>
      </c>
    </row>
    <row r="5334" spans="1:3" ht="47.25" x14ac:dyDescent="0.25">
      <c r="A5334" s="127" t="s">
        <v>10262</v>
      </c>
      <c r="B5334" s="4" t="s">
        <v>9734</v>
      </c>
      <c r="C5334" s="83">
        <v>979</v>
      </c>
    </row>
    <row r="5335" spans="1:3" ht="47.25" x14ac:dyDescent="0.25">
      <c r="A5335" s="127" t="s">
        <v>10263</v>
      </c>
      <c r="B5335" s="4" t="s">
        <v>9736</v>
      </c>
      <c r="C5335" s="83">
        <v>1009</v>
      </c>
    </row>
    <row r="5336" spans="1:3" ht="47.25" x14ac:dyDescent="0.25">
      <c r="A5336" s="127" t="s">
        <v>10264</v>
      </c>
      <c r="B5336" s="4" t="s">
        <v>9738</v>
      </c>
      <c r="C5336" s="83">
        <v>969</v>
      </c>
    </row>
    <row r="5337" spans="1:3" ht="18" x14ac:dyDescent="0.25">
      <c r="A5337" s="225" t="s">
        <v>9136</v>
      </c>
      <c r="B5337" s="238"/>
      <c r="C5337" s="233"/>
    </row>
    <row r="5338" spans="1:3" ht="47.25" x14ac:dyDescent="0.25">
      <c r="A5338" s="127" t="s">
        <v>1018</v>
      </c>
      <c r="B5338" s="4" t="s">
        <v>9740</v>
      </c>
      <c r="C5338" s="83">
        <v>1099</v>
      </c>
    </row>
    <row r="5339" spans="1:3" ht="47.25" x14ac:dyDescent="0.25">
      <c r="A5339" s="127" t="s">
        <v>10265</v>
      </c>
      <c r="B5339" s="4" t="s">
        <v>9742</v>
      </c>
      <c r="C5339" s="83">
        <v>1059</v>
      </c>
    </row>
    <row r="5340" spans="1:3" ht="63" x14ac:dyDescent="0.25">
      <c r="A5340" s="127" t="s">
        <v>10266</v>
      </c>
      <c r="B5340" s="4" t="s">
        <v>10267</v>
      </c>
      <c r="C5340" s="83">
        <v>1149</v>
      </c>
    </row>
    <row r="5341" spans="1:3" ht="63" x14ac:dyDescent="0.25">
      <c r="A5341" s="127" t="s">
        <v>10268</v>
      </c>
      <c r="B5341" s="4" t="s">
        <v>9746</v>
      </c>
      <c r="C5341" s="83">
        <v>1109</v>
      </c>
    </row>
    <row r="5342" spans="1:3" ht="63" x14ac:dyDescent="0.25">
      <c r="A5342" s="127" t="s">
        <v>10269</v>
      </c>
      <c r="B5342" s="4" t="s">
        <v>9748</v>
      </c>
      <c r="C5342" s="83">
        <v>1139</v>
      </c>
    </row>
    <row r="5343" spans="1:3" ht="63" x14ac:dyDescent="0.25">
      <c r="A5343" s="127" t="s">
        <v>10270</v>
      </c>
      <c r="B5343" s="4" t="s">
        <v>9750</v>
      </c>
      <c r="C5343" s="83">
        <v>1099</v>
      </c>
    </row>
    <row r="5344" spans="1:3" x14ac:dyDescent="0.25">
      <c r="A5344" s="194" t="s">
        <v>9199</v>
      </c>
      <c r="B5344" s="239"/>
    </row>
    <row r="5345" spans="1:3" x14ac:dyDescent="0.25">
      <c r="A5345" s="69"/>
      <c r="B5345" s="139"/>
    </row>
    <row r="5346" spans="1:3" ht="54" x14ac:dyDescent="0.25">
      <c r="A5346" s="225" t="s">
        <v>9200</v>
      </c>
      <c r="B5346" s="219" t="s">
        <v>9751</v>
      </c>
      <c r="C5346" s="233"/>
    </row>
    <row r="5347" spans="1:3" ht="78.75" x14ac:dyDescent="0.25">
      <c r="A5347" s="127" t="s">
        <v>10271</v>
      </c>
      <c r="B5347" s="4" t="s">
        <v>9753</v>
      </c>
      <c r="C5347" s="83">
        <v>1279</v>
      </c>
    </row>
    <row r="5348" spans="1:3" ht="78.75" x14ac:dyDescent="0.25">
      <c r="A5348" s="127" t="s">
        <v>10272</v>
      </c>
      <c r="B5348" s="4" t="s">
        <v>10273</v>
      </c>
      <c r="C5348" s="83">
        <v>1279</v>
      </c>
    </row>
    <row r="5349" spans="1:3" ht="78.75" x14ac:dyDescent="0.25">
      <c r="A5349" s="127" t="s">
        <v>10274</v>
      </c>
      <c r="B5349" s="4" t="s">
        <v>10275</v>
      </c>
      <c r="C5349" s="83">
        <v>1279</v>
      </c>
    </row>
    <row r="5350" spans="1:3" ht="78.75" x14ac:dyDescent="0.25">
      <c r="A5350" s="127" t="s">
        <v>10276</v>
      </c>
      <c r="B5350" s="4" t="s">
        <v>9755</v>
      </c>
      <c r="C5350" s="83">
        <v>1279</v>
      </c>
    </row>
    <row r="5351" spans="1:3" ht="78.75" x14ac:dyDescent="0.25">
      <c r="A5351" s="127" t="s">
        <v>10277</v>
      </c>
      <c r="B5351" s="4" t="s">
        <v>10278</v>
      </c>
      <c r="C5351" s="83">
        <v>1279</v>
      </c>
    </row>
    <row r="5352" spans="1:3" ht="78.75" x14ac:dyDescent="0.25">
      <c r="A5352" s="127" t="s">
        <v>8294</v>
      </c>
      <c r="B5352" s="4" t="s">
        <v>10279</v>
      </c>
      <c r="C5352" s="83">
        <v>1279</v>
      </c>
    </row>
    <row r="5353" spans="1:3" x14ac:dyDescent="0.25">
      <c r="A5353" s="128"/>
      <c r="B5353" s="73"/>
    </row>
    <row r="5354" spans="1:3" ht="36" x14ac:dyDescent="0.25">
      <c r="A5354" s="186" t="s">
        <v>9217</v>
      </c>
      <c r="B5354" s="193" t="s">
        <v>9218</v>
      </c>
      <c r="C5354" s="224"/>
    </row>
    <row r="5355" spans="1:3" ht="63" x14ac:dyDescent="0.25">
      <c r="A5355" s="127" t="s">
        <v>10280</v>
      </c>
      <c r="B5355" s="66" t="s">
        <v>9757</v>
      </c>
      <c r="C5355" s="83">
        <v>599</v>
      </c>
    </row>
    <row r="5356" spans="1:3" ht="63" x14ac:dyDescent="0.25">
      <c r="A5356" s="127" t="s">
        <v>10281</v>
      </c>
      <c r="B5356" s="66" t="s">
        <v>10282</v>
      </c>
      <c r="C5356" s="83">
        <v>599</v>
      </c>
    </row>
    <row r="5357" spans="1:3" ht="63" x14ac:dyDescent="0.25">
      <c r="A5357" s="127" t="s">
        <v>10283</v>
      </c>
      <c r="B5357" s="66" t="s">
        <v>9220</v>
      </c>
      <c r="C5357" s="83">
        <v>599</v>
      </c>
    </row>
    <row r="5358" spans="1:3" ht="63" x14ac:dyDescent="0.25">
      <c r="A5358" s="127" t="s">
        <v>10284</v>
      </c>
      <c r="B5358" s="66" t="s">
        <v>10285</v>
      </c>
      <c r="C5358" s="83">
        <v>599</v>
      </c>
    </row>
    <row r="5359" spans="1:3" ht="63" x14ac:dyDescent="0.25">
      <c r="A5359" s="127" t="s">
        <v>10286</v>
      </c>
      <c r="B5359" s="66" t="s">
        <v>9224</v>
      </c>
      <c r="C5359" s="83">
        <v>599</v>
      </c>
    </row>
    <row r="5360" spans="1:3" ht="63" x14ac:dyDescent="0.25">
      <c r="A5360" s="127" t="s">
        <v>10287</v>
      </c>
      <c r="B5360" s="66" t="s">
        <v>9226</v>
      </c>
      <c r="C5360" s="83">
        <v>599</v>
      </c>
    </row>
    <row r="5361" spans="1:3" x14ac:dyDescent="0.25">
      <c r="A5361" s="128"/>
      <c r="B5361" s="73"/>
    </row>
    <row r="5362" spans="1:3" ht="36" x14ac:dyDescent="0.25">
      <c r="A5362" s="218"/>
      <c r="B5362" s="219" t="s">
        <v>9228</v>
      </c>
      <c r="C5362" s="233"/>
    </row>
    <row r="5363" spans="1:3" ht="63" x14ac:dyDescent="0.25">
      <c r="A5363" s="127" t="s">
        <v>8296</v>
      </c>
      <c r="B5363" s="4" t="s">
        <v>10288</v>
      </c>
      <c r="C5363" s="83">
        <v>659</v>
      </c>
    </row>
    <row r="5364" spans="1:3" ht="63" x14ac:dyDescent="0.25">
      <c r="A5364" s="127" t="s">
        <v>10289</v>
      </c>
      <c r="B5364" s="4" t="s">
        <v>10290</v>
      </c>
      <c r="C5364" s="83">
        <v>689</v>
      </c>
    </row>
    <row r="5365" spans="1:3" x14ac:dyDescent="0.25">
      <c r="B5365" s="73"/>
    </row>
    <row r="5366" spans="1:3" x14ac:dyDescent="0.25">
      <c r="B5366" s="235" t="s">
        <v>10291</v>
      </c>
      <c r="C5366" s="81"/>
    </row>
    <row r="5367" spans="1:3" ht="18" x14ac:dyDescent="0.25">
      <c r="A5367" s="218"/>
      <c r="B5367" s="208" t="s">
        <v>10292</v>
      </c>
      <c r="C5367" s="233"/>
    </row>
    <row r="5368" spans="1:3" ht="47.25" x14ac:dyDescent="0.25">
      <c r="A5368" s="127" t="s">
        <v>10293</v>
      </c>
      <c r="B5368" s="4" t="s">
        <v>9248</v>
      </c>
      <c r="C5368" s="83">
        <v>579</v>
      </c>
    </row>
    <row r="5369" spans="1:3" ht="78.75" x14ac:dyDescent="0.25">
      <c r="A5369" s="127" t="s">
        <v>10294</v>
      </c>
      <c r="B5369" s="4" t="s">
        <v>15587</v>
      </c>
      <c r="C5369" s="83">
        <v>959</v>
      </c>
    </row>
    <row r="5370" spans="1:3" ht="47.25" x14ac:dyDescent="0.25">
      <c r="A5370" s="127" t="s">
        <v>10295</v>
      </c>
      <c r="B5370" s="4" t="s">
        <v>9634</v>
      </c>
      <c r="C5370" s="83">
        <v>579</v>
      </c>
    </row>
    <row r="5371" spans="1:3" x14ac:dyDescent="0.25">
      <c r="A5371" s="71"/>
      <c r="B5371" s="212" t="s">
        <v>9251</v>
      </c>
    </row>
    <row r="5372" spans="1:3" x14ac:dyDescent="0.25">
      <c r="A5372" s="71"/>
      <c r="B5372" s="212"/>
    </row>
    <row r="5373" spans="1:3" x14ac:dyDescent="0.25">
      <c r="B5373" s="235" t="s">
        <v>10291</v>
      </c>
      <c r="C5373" s="81"/>
    </row>
    <row r="5374" spans="1:3" ht="54" x14ac:dyDescent="0.25">
      <c r="A5374" s="218"/>
      <c r="B5374" s="219" t="s">
        <v>9252</v>
      </c>
      <c r="C5374" s="233"/>
    </row>
    <row r="5375" spans="1:3" ht="31.5" x14ac:dyDescent="0.25">
      <c r="A5375" s="127" t="s">
        <v>10296</v>
      </c>
      <c r="B5375" s="66" t="s">
        <v>9254</v>
      </c>
      <c r="C5375" s="83">
        <v>949</v>
      </c>
    </row>
    <row r="5376" spans="1:3" ht="31.5" x14ac:dyDescent="0.25">
      <c r="A5376" s="127" t="s">
        <v>10297</v>
      </c>
      <c r="B5376" s="66" t="s">
        <v>9256</v>
      </c>
      <c r="C5376" s="83">
        <v>949</v>
      </c>
    </row>
    <row r="5377" spans="1:3" ht="31.5" x14ac:dyDescent="0.25">
      <c r="A5377" s="127" t="s">
        <v>10298</v>
      </c>
      <c r="B5377" s="66" t="s">
        <v>9258</v>
      </c>
      <c r="C5377" s="83">
        <v>1029</v>
      </c>
    </row>
    <row r="5378" spans="1:3" x14ac:dyDescent="0.25">
      <c r="A5378" s="71"/>
      <c r="B5378" s="212" t="s">
        <v>9251</v>
      </c>
    </row>
    <row r="5379" spans="1:3" x14ac:dyDescent="0.25">
      <c r="A5379" s="71"/>
      <c r="B5379" s="212"/>
    </row>
    <row r="5380" spans="1:3" x14ac:dyDescent="0.25">
      <c r="A5380" s="149"/>
      <c r="B5380" s="235" t="s">
        <v>10291</v>
      </c>
      <c r="C5380" s="81"/>
    </row>
    <row r="5381" spans="1:3" ht="54" x14ac:dyDescent="0.25">
      <c r="A5381" s="218"/>
      <c r="B5381" s="219" t="s">
        <v>9259</v>
      </c>
      <c r="C5381" s="233"/>
    </row>
    <row r="5382" spans="1:3" ht="31.5" x14ac:dyDescent="0.25">
      <c r="A5382" s="127" t="s">
        <v>10299</v>
      </c>
      <c r="B5382" s="66" t="s">
        <v>9261</v>
      </c>
      <c r="C5382" s="83">
        <v>1179</v>
      </c>
    </row>
    <row r="5383" spans="1:3" ht="31.5" x14ac:dyDescent="0.25">
      <c r="A5383" s="127" t="s">
        <v>10300</v>
      </c>
      <c r="B5383" s="66" t="s">
        <v>9263</v>
      </c>
      <c r="C5383" s="83">
        <v>1179</v>
      </c>
    </row>
    <row r="5384" spans="1:3" ht="31.5" x14ac:dyDescent="0.25">
      <c r="A5384" s="127" t="s">
        <v>10301</v>
      </c>
      <c r="B5384" s="66" t="s">
        <v>9265</v>
      </c>
      <c r="C5384" s="83">
        <v>1339</v>
      </c>
    </row>
    <row r="5385" spans="1:3" x14ac:dyDescent="0.25">
      <c r="A5385" s="71"/>
      <c r="B5385" s="212" t="s">
        <v>9251</v>
      </c>
    </row>
    <row r="5386" spans="1:3" x14ac:dyDescent="0.25">
      <c r="A5386" s="71"/>
      <c r="B5386" s="212"/>
    </row>
    <row r="5387" spans="1:3" x14ac:dyDescent="0.25">
      <c r="B5387" s="235" t="s">
        <v>10291</v>
      </c>
      <c r="C5387" s="81"/>
    </row>
    <row r="5388" spans="1:3" ht="54" x14ac:dyDescent="0.25">
      <c r="A5388" s="200"/>
      <c r="B5388" s="193" t="s">
        <v>9266</v>
      </c>
      <c r="C5388" s="233"/>
    </row>
    <row r="5389" spans="1:3" ht="31.5" x14ac:dyDescent="0.25">
      <c r="A5389" s="44" t="s">
        <v>10302</v>
      </c>
      <c r="B5389" s="66" t="s">
        <v>9268</v>
      </c>
      <c r="C5389" s="83">
        <v>1459</v>
      </c>
    </row>
    <row r="5390" spans="1:3" ht="31.5" x14ac:dyDescent="0.25">
      <c r="A5390" s="44" t="s">
        <v>10303</v>
      </c>
      <c r="B5390" s="66" t="s">
        <v>9270</v>
      </c>
      <c r="C5390" s="83">
        <v>1459</v>
      </c>
    </row>
    <row r="5391" spans="1:3" ht="31.5" x14ac:dyDescent="0.25">
      <c r="A5391" s="44" t="s">
        <v>10304</v>
      </c>
      <c r="B5391" s="66" t="s">
        <v>9272</v>
      </c>
      <c r="C5391" s="83">
        <v>1689</v>
      </c>
    </row>
    <row r="5392" spans="1:3" x14ac:dyDescent="0.25">
      <c r="A5392" s="129"/>
      <c r="B5392" s="72"/>
    </row>
    <row r="5393" spans="1:3" x14ac:dyDescent="0.25">
      <c r="B5393" s="235" t="s">
        <v>10291</v>
      </c>
      <c r="C5393" s="81"/>
    </row>
    <row r="5394" spans="1:3" x14ac:dyDescent="0.25">
      <c r="A5394" s="126"/>
      <c r="B5394" s="198" t="s">
        <v>9273</v>
      </c>
    </row>
    <row r="5395" spans="1:3" ht="36" x14ac:dyDescent="0.25">
      <c r="A5395" s="202"/>
      <c r="B5395" s="193" t="s">
        <v>15799</v>
      </c>
      <c r="C5395" s="233"/>
    </row>
    <row r="5396" spans="1:3" ht="31.5" x14ac:dyDescent="0.25">
      <c r="A5396" s="44" t="s">
        <v>10305</v>
      </c>
      <c r="B5396" s="66" t="s">
        <v>9275</v>
      </c>
      <c r="C5396" s="83">
        <v>609</v>
      </c>
    </row>
    <row r="5397" spans="1:3" ht="31.5" x14ac:dyDescent="0.25">
      <c r="A5397" s="44" t="s">
        <v>10306</v>
      </c>
      <c r="B5397" s="66" t="s">
        <v>9277</v>
      </c>
      <c r="C5397" s="83">
        <v>609</v>
      </c>
    </row>
    <row r="5398" spans="1:3" ht="31.5" x14ac:dyDescent="0.25">
      <c r="A5398" s="44" t="s">
        <v>10307</v>
      </c>
      <c r="B5398" s="66" t="s">
        <v>9279</v>
      </c>
      <c r="C5398" s="83">
        <v>609</v>
      </c>
    </row>
    <row r="5399" spans="1:3" ht="31.5" x14ac:dyDescent="0.25">
      <c r="A5399" s="44" t="s">
        <v>10308</v>
      </c>
      <c r="B5399" s="66" t="s">
        <v>9281</v>
      </c>
      <c r="C5399" s="83">
        <v>609</v>
      </c>
    </row>
    <row r="5400" spans="1:3" ht="31.5" x14ac:dyDescent="0.25">
      <c r="A5400" s="44" t="s">
        <v>10309</v>
      </c>
      <c r="B5400" s="66" t="s">
        <v>9283</v>
      </c>
      <c r="C5400" s="83">
        <v>609</v>
      </c>
    </row>
    <row r="5401" spans="1:3" ht="31.5" x14ac:dyDescent="0.25">
      <c r="A5401" s="44" t="s">
        <v>10310</v>
      </c>
      <c r="B5401" s="66" t="s">
        <v>9285</v>
      </c>
      <c r="C5401" s="83">
        <v>609</v>
      </c>
    </row>
    <row r="5402" spans="1:3" ht="31.5" x14ac:dyDescent="0.25">
      <c r="A5402" s="44" t="s">
        <v>10311</v>
      </c>
      <c r="B5402" s="66" t="s">
        <v>9287</v>
      </c>
      <c r="C5402" s="83">
        <v>609</v>
      </c>
    </row>
    <row r="5403" spans="1:3" x14ac:dyDescent="0.25">
      <c r="A5403" s="126"/>
      <c r="B5403" s="198" t="s">
        <v>9251</v>
      </c>
    </row>
    <row r="5404" spans="1:3" x14ac:dyDescent="0.25">
      <c r="A5404" s="126"/>
      <c r="B5404" s="198"/>
    </row>
    <row r="5405" spans="1:3" x14ac:dyDescent="0.25">
      <c r="B5405" s="235" t="s">
        <v>10291</v>
      </c>
      <c r="C5405" s="81"/>
    </row>
    <row r="5406" spans="1:3" x14ac:dyDescent="0.25">
      <c r="A5406" s="126"/>
      <c r="B5406" s="198" t="s">
        <v>9273</v>
      </c>
    </row>
    <row r="5407" spans="1:3" ht="36" x14ac:dyDescent="0.25">
      <c r="A5407" s="202"/>
      <c r="B5407" s="193" t="s">
        <v>15800</v>
      </c>
      <c r="C5407" s="233"/>
    </row>
    <row r="5408" spans="1:3" ht="31.5" x14ac:dyDescent="0.25">
      <c r="A5408" s="44" t="s">
        <v>10312</v>
      </c>
      <c r="B5408" s="66" t="s">
        <v>9289</v>
      </c>
      <c r="C5408" s="83">
        <v>619</v>
      </c>
    </row>
    <row r="5409" spans="1:3" ht="31.5" x14ac:dyDescent="0.25">
      <c r="A5409" s="44" t="s">
        <v>10313</v>
      </c>
      <c r="B5409" s="66" t="s">
        <v>9291</v>
      </c>
      <c r="C5409" s="83">
        <v>619</v>
      </c>
    </row>
    <row r="5410" spans="1:3" ht="31.5" x14ac:dyDescent="0.25">
      <c r="A5410" s="44" t="s">
        <v>10314</v>
      </c>
      <c r="B5410" s="66" t="s">
        <v>9293</v>
      </c>
      <c r="C5410" s="83">
        <v>619</v>
      </c>
    </row>
    <row r="5411" spans="1:3" ht="31.5" x14ac:dyDescent="0.25">
      <c r="A5411" s="44" t="s">
        <v>10315</v>
      </c>
      <c r="B5411" s="66" t="s">
        <v>9295</v>
      </c>
      <c r="C5411" s="83">
        <v>619</v>
      </c>
    </row>
    <row r="5412" spans="1:3" ht="31.5" x14ac:dyDescent="0.25">
      <c r="A5412" s="44" t="s">
        <v>10316</v>
      </c>
      <c r="B5412" s="66" t="s">
        <v>9297</v>
      </c>
      <c r="C5412" s="83">
        <v>619</v>
      </c>
    </row>
    <row r="5413" spans="1:3" ht="31.5" x14ac:dyDescent="0.25">
      <c r="A5413" s="44" t="s">
        <v>10317</v>
      </c>
      <c r="B5413" s="66" t="s">
        <v>9299</v>
      </c>
      <c r="C5413" s="83">
        <v>619</v>
      </c>
    </row>
    <row r="5414" spans="1:3" ht="31.5" x14ac:dyDescent="0.25">
      <c r="A5414" s="44" t="s">
        <v>10318</v>
      </c>
      <c r="B5414" s="66" t="s">
        <v>9301</v>
      </c>
      <c r="C5414" s="83">
        <v>619</v>
      </c>
    </row>
    <row r="5415" spans="1:3" x14ac:dyDescent="0.25">
      <c r="A5415" s="126"/>
      <c r="B5415" s="198" t="s">
        <v>9251</v>
      </c>
    </row>
    <row r="5416" spans="1:3" x14ac:dyDescent="0.25">
      <c r="A5416" s="126"/>
      <c r="B5416" s="198"/>
    </row>
    <row r="5417" spans="1:3" x14ac:dyDescent="0.25">
      <c r="B5417" s="235" t="s">
        <v>10291</v>
      </c>
      <c r="C5417" s="81"/>
    </row>
    <row r="5418" spans="1:3" x14ac:dyDescent="0.25">
      <c r="A5418" s="126"/>
      <c r="B5418" s="198" t="s">
        <v>9273</v>
      </c>
    </row>
    <row r="5419" spans="1:3" ht="36" x14ac:dyDescent="0.25">
      <c r="A5419" s="202"/>
      <c r="B5419" s="193" t="s">
        <v>15801</v>
      </c>
      <c r="C5419" s="233"/>
    </row>
    <row r="5420" spans="1:3" ht="31.5" x14ac:dyDescent="0.25">
      <c r="A5420" s="44" t="s">
        <v>10319</v>
      </c>
      <c r="B5420" s="66" t="s">
        <v>9303</v>
      </c>
      <c r="C5420" s="83">
        <v>629</v>
      </c>
    </row>
    <row r="5421" spans="1:3" ht="31.5" x14ac:dyDescent="0.25">
      <c r="A5421" s="44" t="s">
        <v>9304</v>
      </c>
      <c r="B5421" s="66" t="s">
        <v>9305</v>
      </c>
      <c r="C5421" s="83">
        <v>0</v>
      </c>
    </row>
    <row r="5422" spans="1:3" ht="31.5" x14ac:dyDescent="0.25">
      <c r="A5422" s="44" t="s">
        <v>10320</v>
      </c>
      <c r="B5422" s="66" t="s">
        <v>9307</v>
      </c>
      <c r="C5422" s="83">
        <v>629</v>
      </c>
    </row>
    <row r="5423" spans="1:3" ht="31.5" x14ac:dyDescent="0.25">
      <c r="A5423" s="44" t="s">
        <v>9304</v>
      </c>
      <c r="B5423" s="66" t="s">
        <v>9308</v>
      </c>
      <c r="C5423" s="83">
        <v>0</v>
      </c>
    </row>
    <row r="5424" spans="1:3" ht="31.5" x14ac:dyDescent="0.25">
      <c r="A5424" s="44" t="s">
        <v>10321</v>
      </c>
      <c r="B5424" s="66" t="s">
        <v>9310</v>
      </c>
      <c r="C5424" s="83">
        <v>629</v>
      </c>
    </row>
    <row r="5425" spans="1:3" ht="31.5" x14ac:dyDescent="0.25">
      <c r="A5425" s="44" t="s">
        <v>10322</v>
      </c>
      <c r="B5425" s="66" t="s">
        <v>9312</v>
      </c>
      <c r="C5425" s="83">
        <v>629</v>
      </c>
    </row>
    <row r="5426" spans="1:3" ht="31.5" x14ac:dyDescent="0.25">
      <c r="A5426" s="44" t="s">
        <v>10323</v>
      </c>
      <c r="B5426" s="66" t="s">
        <v>9314</v>
      </c>
      <c r="C5426" s="83">
        <v>629</v>
      </c>
    </row>
    <row r="5427" spans="1:3" x14ac:dyDescent="0.25">
      <c r="A5427" s="194" t="s">
        <v>9315</v>
      </c>
      <c r="B5427" s="139"/>
    </row>
    <row r="5428" spans="1:3" x14ac:dyDescent="0.25">
      <c r="A5428" s="69"/>
      <c r="B5428" s="139"/>
    </row>
    <row r="5429" spans="1:3" ht="18" x14ac:dyDescent="0.25">
      <c r="A5429" s="218"/>
      <c r="B5429" s="219" t="s">
        <v>10324</v>
      </c>
      <c r="C5429" s="233"/>
    </row>
    <row r="5430" spans="1:3" x14ac:dyDescent="0.25">
      <c r="A5430" s="127" t="s">
        <v>10325</v>
      </c>
      <c r="B5430" s="137" t="s">
        <v>9318</v>
      </c>
      <c r="C5430" s="83">
        <v>279</v>
      </c>
    </row>
    <row r="5431" spans="1:3" x14ac:dyDescent="0.25">
      <c r="A5431" s="128"/>
      <c r="B5431" s="146"/>
    </row>
    <row r="5432" spans="1:3" x14ac:dyDescent="0.25">
      <c r="B5432" s="235" t="s">
        <v>10326</v>
      </c>
      <c r="C5432" s="81"/>
    </row>
    <row r="5433" spans="1:3" ht="18" x14ac:dyDescent="0.25">
      <c r="A5433" s="218"/>
      <c r="B5433" s="208" t="s">
        <v>10292</v>
      </c>
      <c r="C5433" s="233"/>
    </row>
    <row r="5434" spans="1:3" ht="47.25" x14ac:dyDescent="0.25">
      <c r="A5434" s="127" t="s">
        <v>10327</v>
      </c>
      <c r="B5434" s="4" t="s">
        <v>9248</v>
      </c>
      <c r="C5434" s="83">
        <v>579</v>
      </c>
    </row>
    <row r="5435" spans="1:3" ht="78.75" x14ac:dyDescent="0.25">
      <c r="A5435" s="127" t="s">
        <v>10328</v>
      </c>
      <c r="B5435" s="4" t="s">
        <v>15587</v>
      </c>
      <c r="C5435" s="83">
        <v>959</v>
      </c>
    </row>
    <row r="5436" spans="1:3" ht="47.25" x14ac:dyDescent="0.25">
      <c r="A5436" s="127" t="s">
        <v>10329</v>
      </c>
      <c r="B5436" s="4" t="s">
        <v>9634</v>
      </c>
      <c r="C5436" s="83">
        <v>579</v>
      </c>
    </row>
    <row r="5437" spans="1:3" x14ac:dyDescent="0.25">
      <c r="A5437" s="71"/>
      <c r="B5437" s="212" t="s">
        <v>9251</v>
      </c>
    </row>
    <row r="5438" spans="1:3" x14ac:dyDescent="0.25">
      <c r="A5438" s="71"/>
      <c r="B5438" s="212"/>
    </row>
    <row r="5439" spans="1:3" x14ac:dyDescent="0.25">
      <c r="B5439" s="235" t="s">
        <v>10326</v>
      </c>
      <c r="C5439" s="81"/>
    </row>
    <row r="5440" spans="1:3" ht="54" x14ac:dyDescent="0.25">
      <c r="A5440" s="218"/>
      <c r="B5440" s="219" t="s">
        <v>9252</v>
      </c>
      <c r="C5440" s="233"/>
    </row>
    <row r="5441" spans="1:3" ht="31.5" x14ac:dyDescent="0.25">
      <c r="A5441" s="127" t="s">
        <v>10330</v>
      </c>
      <c r="B5441" s="66" t="s">
        <v>9254</v>
      </c>
      <c r="C5441" s="83">
        <v>949</v>
      </c>
    </row>
    <row r="5442" spans="1:3" ht="31.5" x14ac:dyDescent="0.25">
      <c r="A5442" s="127" t="s">
        <v>10331</v>
      </c>
      <c r="B5442" s="66" t="s">
        <v>9256</v>
      </c>
      <c r="C5442" s="83">
        <v>949</v>
      </c>
    </row>
    <row r="5443" spans="1:3" ht="31.5" x14ac:dyDescent="0.25">
      <c r="A5443" s="127" t="s">
        <v>10332</v>
      </c>
      <c r="B5443" s="66" t="s">
        <v>9258</v>
      </c>
      <c r="C5443" s="83">
        <v>1029</v>
      </c>
    </row>
    <row r="5444" spans="1:3" x14ac:dyDescent="0.25">
      <c r="A5444" s="71"/>
      <c r="B5444" s="212" t="s">
        <v>9251</v>
      </c>
    </row>
    <row r="5445" spans="1:3" x14ac:dyDescent="0.25">
      <c r="A5445" s="71"/>
      <c r="B5445" s="212"/>
    </row>
    <row r="5446" spans="1:3" x14ac:dyDescent="0.25">
      <c r="B5446" s="235" t="s">
        <v>10326</v>
      </c>
      <c r="C5446" s="81"/>
    </row>
    <row r="5447" spans="1:3" ht="54" x14ac:dyDescent="0.25">
      <c r="A5447" s="218"/>
      <c r="B5447" s="219" t="s">
        <v>9259</v>
      </c>
      <c r="C5447" s="233"/>
    </row>
    <row r="5448" spans="1:3" ht="31.5" x14ac:dyDescent="0.25">
      <c r="A5448" s="127" t="s">
        <v>10333</v>
      </c>
      <c r="B5448" s="66" t="s">
        <v>9261</v>
      </c>
      <c r="C5448" s="83">
        <v>1179</v>
      </c>
    </row>
    <row r="5449" spans="1:3" ht="31.5" x14ac:dyDescent="0.25">
      <c r="A5449" s="127" t="s">
        <v>10334</v>
      </c>
      <c r="B5449" s="66" t="s">
        <v>9263</v>
      </c>
      <c r="C5449" s="83">
        <v>1179</v>
      </c>
    </row>
    <row r="5450" spans="1:3" ht="31.5" x14ac:dyDescent="0.25">
      <c r="A5450" s="127" t="s">
        <v>10335</v>
      </c>
      <c r="B5450" s="66" t="s">
        <v>9265</v>
      </c>
      <c r="C5450" s="83">
        <v>1339</v>
      </c>
    </row>
    <row r="5451" spans="1:3" x14ac:dyDescent="0.25">
      <c r="A5451" s="71"/>
      <c r="B5451" s="212" t="s">
        <v>9251</v>
      </c>
    </row>
    <row r="5452" spans="1:3" x14ac:dyDescent="0.25">
      <c r="A5452" s="71"/>
      <c r="B5452" s="212"/>
    </row>
    <row r="5453" spans="1:3" x14ac:dyDescent="0.25">
      <c r="B5453" s="235" t="s">
        <v>10326</v>
      </c>
      <c r="C5453" s="81"/>
    </row>
    <row r="5454" spans="1:3" ht="54" x14ac:dyDescent="0.25">
      <c r="A5454" s="200"/>
      <c r="B5454" s="193" t="s">
        <v>9266</v>
      </c>
      <c r="C5454" s="233"/>
    </row>
    <row r="5455" spans="1:3" ht="31.5" x14ac:dyDescent="0.25">
      <c r="A5455" s="44" t="s">
        <v>10336</v>
      </c>
      <c r="B5455" s="66" t="s">
        <v>9268</v>
      </c>
      <c r="C5455" s="83">
        <v>1459</v>
      </c>
    </row>
    <row r="5456" spans="1:3" ht="31.5" x14ac:dyDescent="0.25">
      <c r="A5456" s="44" t="s">
        <v>10337</v>
      </c>
      <c r="B5456" s="66" t="s">
        <v>9270</v>
      </c>
      <c r="C5456" s="83">
        <v>1459</v>
      </c>
    </row>
    <row r="5457" spans="1:3" ht="31.5" x14ac:dyDescent="0.25">
      <c r="A5457" s="44" t="s">
        <v>10338</v>
      </c>
      <c r="B5457" s="66" t="s">
        <v>9272</v>
      </c>
      <c r="C5457" s="83">
        <v>1689</v>
      </c>
    </row>
    <row r="5458" spans="1:3" x14ac:dyDescent="0.25">
      <c r="A5458" s="129"/>
      <c r="B5458" s="72"/>
    </row>
    <row r="5459" spans="1:3" x14ac:dyDescent="0.25">
      <c r="B5459" s="235" t="s">
        <v>10326</v>
      </c>
      <c r="C5459" s="81"/>
    </row>
    <row r="5460" spans="1:3" x14ac:dyDescent="0.25">
      <c r="A5460" s="126"/>
      <c r="B5460" s="198" t="s">
        <v>9273</v>
      </c>
    </row>
    <row r="5461" spans="1:3" ht="36" x14ac:dyDescent="0.25">
      <c r="A5461" s="202"/>
      <c r="B5461" s="193" t="s">
        <v>15799</v>
      </c>
      <c r="C5461" s="233"/>
    </row>
    <row r="5462" spans="1:3" ht="31.5" x14ac:dyDescent="0.25">
      <c r="A5462" s="44" t="s">
        <v>10339</v>
      </c>
      <c r="B5462" s="66" t="s">
        <v>9275</v>
      </c>
      <c r="C5462" s="83">
        <v>609</v>
      </c>
    </row>
    <row r="5463" spans="1:3" ht="31.5" x14ac:dyDescent="0.25">
      <c r="A5463" s="44" t="s">
        <v>10340</v>
      </c>
      <c r="B5463" s="66" t="s">
        <v>9277</v>
      </c>
      <c r="C5463" s="83">
        <v>609</v>
      </c>
    </row>
    <row r="5464" spans="1:3" ht="31.5" x14ac:dyDescent="0.25">
      <c r="A5464" s="44" t="s">
        <v>10341</v>
      </c>
      <c r="B5464" s="66" t="s">
        <v>9279</v>
      </c>
      <c r="C5464" s="83">
        <v>609</v>
      </c>
    </row>
    <row r="5465" spans="1:3" ht="31.5" x14ac:dyDescent="0.25">
      <c r="A5465" s="44" t="s">
        <v>10342</v>
      </c>
      <c r="B5465" s="66" t="s">
        <v>9281</v>
      </c>
      <c r="C5465" s="83">
        <v>609</v>
      </c>
    </row>
    <row r="5466" spans="1:3" ht="31.5" x14ac:dyDescent="0.25">
      <c r="A5466" s="44" t="s">
        <v>10343</v>
      </c>
      <c r="B5466" s="66" t="s">
        <v>9283</v>
      </c>
      <c r="C5466" s="83">
        <v>609</v>
      </c>
    </row>
    <row r="5467" spans="1:3" ht="31.5" x14ac:dyDescent="0.25">
      <c r="A5467" s="44" t="s">
        <v>10344</v>
      </c>
      <c r="B5467" s="66" t="s">
        <v>9285</v>
      </c>
      <c r="C5467" s="83">
        <v>609</v>
      </c>
    </row>
    <row r="5468" spans="1:3" ht="31.5" x14ac:dyDescent="0.25">
      <c r="A5468" s="44" t="s">
        <v>10345</v>
      </c>
      <c r="B5468" s="66" t="s">
        <v>9287</v>
      </c>
      <c r="C5468" s="83">
        <v>609</v>
      </c>
    </row>
    <row r="5469" spans="1:3" x14ac:dyDescent="0.25">
      <c r="A5469" s="126"/>
      <c r="B5469" s="198" t="s">
        <v>9251</v>
      </c>
    </row>
    <row r="5470" spans="1:3" x14ac:dyDescent="0.25">
      <c r="A5470" s="126"/>
      <c r="B5470" s="198"/>
    </row>
    <row r="5471" spans="1:3" x14ac:dyDescent="0.25">
      <c r="B5471" s="235" t="s">
        <v>10326</v>
      </c>
      <c r="C5471" s="81"/>
    </row>
    <row r="5472" spans="1:3" x14ac:dyDescent="0.25">
      <c r="A5472" s="126"/>
      <c r="B5472" s="198" t="s">
        <v>9273</v>
      </c>
    </row>
    <row r="5473" spans="1:3" ht="36" x14ac:dyDescent="0.25">
      <c r="A5473" s="202"/>
      <c r="B5473" s="193" t="s">
        <v>15800</v>
      </c>
      <c r="C5473" s="233"/>
    </row>
    <row r="5474" spans="1:3" ht="31.5" x14ac:dyDescent="0.25">
      <c r="A5474" s="44" t="s">
        <v>10346</v>
      </c>
      <c r="B5474" s="66" t="s">
        <v>9289</v>
      </c>
      <c r="C5474" s="83">
        <v>619</v>
      </c>
    </row>
    <row r="5475" spans="1:3" ht="31.5" x14ac:dyDescent="0.25">
      <c r="A5475" s="44" t="s">
        <v>10347</v>
      </c>
      <c r="B5475" s="66" t="s">
        <v>9291</v>
      </c>
      <c r="C5475" s="83">
        <v>619</v>
      </c>
    </row>
    <row r="5476" spans="1:3" ht="31.5" x14ac:dyDescent="0.25">
      <c r="A5476" s="44" t="s">
        <v>10348</v>
      </c>
      <c r="B5476" s="66" t="s">
        <v>9293</v>
      </c>
      <c r="C5476" s="83">
        <v>619</v>
      </c>
    </row>
    <row r="5477" spans="1:3" ht="31.5" x14ac:dyDescent="0.25">
      <c r="A5477" s="44" t="s">
        <v>10349</v>
      </c>
      <c r="B5477" s="66" t="s">
        <v>9295</v>
      </c>
      <c r="C5477" s="83">
        <v>619</v>
      </c>
    </row>
    <row r="5478" spans="1:3" ht="31.5" x14ac:dyDescent="0.25">
      <c r="A5478" s="44" t="s">
        <v>10350</v>
      </c>
      <c r="B5478" s="66" t="s">
        <v>9297</v>
      </c>
      <c r="C5478" s="83">
        <v>619</v>
      </c>
    </row>
    <row r="5479" spans="1:3" ht="31.5" x14ac:dyDescent="0.25">
      <c r="A5479" s="44" t="s">
        <v>10351</v>
      </c>
      <c r="B5479" s="66" t="s">
        <v>9299</v>
      </c>
      <c r="C5479" s="83">
        <v>619</v>
      </c>
    </row>
    <row r="5480" spans="1:3" ht="31.5" x14ac:dyDescent="0.25">
      <c r="A5480" s="44" t="s">
        <v>10352</v>
      </c>
      <c r="B5480" s="66" t="s">
        <v>9301</v>
      </c>
      <c r="C5480" s="83">
        <v>619</v>
      </c>
    </row>
    <row r="5481" spans="1:3" x14ac:dyDescent="0.25">
      <c r="A5481" s="126"/>
      <c r="B5481" s="198" t="s">
        <v>9251</v>
      </c>
    </row>
    <row r="5482" spans="1:3" x14ac:dyDescent="0.25">
      <c r="A5482" s="126"/>
      <c r="B5482" s="198"/>
    </row>
    <row r="5483" spans="1:3" x14ac:dyDescent="0.25">
      <c r="B5483" s="235" t="s">
        <v>10326</v>
      </c>
      <c r="C5483" s="81"/>
    </row>
    <row r="5484" spans="1:3" x14ac:dyDescent="0.25">
      <c r="A5484" s="126"/>
      <c r="B5484" s="198" t="s">
        <v>9273</v>
      </c>
    </row>
    <row r="5485" spans="1:3" ht="36" x14ac:dyDescent="0.25">
      <c r="A5485" s="202"/>
      <c r="B5485" s="193" t="s">
        <v>15801</v>
      </c>
      <c r="C5485" s="233"/>
    </row>
    <row r="5486" spans="1:3" ht="31.5" x14ac:dyDescent="0.25">
      <c r="A5486" s="44" t="s">
        <v>10353</v>
      </c>
      <c r="B5486" s="66" t="s">
        <v>9303</v>
      </c>
      <c r="C5486" s="83">
        <v>629</v>
      </c>
    </row>
    <row r="5487" spans="1:3" ht="31.5" x14ac:dyDescent="0.25">
      <c r="A5487" s="44" t="s">
        <v>9304</v>
      </c>
      <c r="B5487" s="66" t="s">
        <v>9305</v>
      </c>
      <c r="C5487" s="83">
        <v>0</v>
      </c>
    </row>
    <row r="5488" spans="1:3" ht="31.5" x14ac:dyDescent="0.25">
      <c r="A5488" s="44" t="s">
        <v>10354</v>
      </c>
      <c r="B5488" s="66" t="s">
        <v>9307</v>
      </c>
      <c r="C5488" s="83">
        <v>629</v>
      </c>
    </row>
    <row r="5489" spans="1:3" ht="31.5" x14ac:dyDescent="0.25">
      <c r="A5489" s="44" t="s">
        <v>9304</v>
      </c>
      <c r="B5489" s="66" t="s">
        <v>9308</v>
      </c>
      <c r="C5489" s="83">
        <v>0</v>
      </c>
    </row>
    <row r="5490" spans="1:3" ht="31.5" x14ac:dyDescent="0.25">
      <c r="A5490" s="44" t="s">
        <v>10355</v>
      </c>
      <c r="B5490" s="66" t="s">
        <v>9310</v>
      </c>
      <c r="C5490" s="83">
        <v>629</v>
      </c>
    </row>
    <row r="5491" spans="1:3" ht="31.5" x14ac:dyDescent="0.25">
      <c r="A5491" s="44" t="s">
        <v>10356</v>
      </c>
      <c r="B5491" s="66" t="s">
        <v>9312</v>
      </c>
      <c r="C5491" s="83">
        <v>629</v>
      </c>
    </row>
    <row r="5492" spans="1:3" ht="31.5" x14ac:dyDescent="0.25">
      <c r="A5492" s="44" t="s">
        <v>10357</v>
      </c>
      <c r="B5492" s="66" t="s">
        <v>9314</v>
      </c>
      <c r="C5492" s="83">
        <v>629</v>
      </c>
    </row>
    <row r="5493" spans="1:3" x14ac:dyDescent="0.25">
      <c r="A5493" s="194" t="s">
        <v>9315</v>
      </c>
      <c r="B5493" s="139"/>
    </row>
    <row r="5494" spans="1:3" x14ac:dyDescent="0.25">
      <c r="A5494" s="69"/>
      <c r="B5494" s="139"/>
    </row>
    <row r="5495" spans="1:3" ht="18" x14ac:dyDescent="0.25">
      <c r="A5495" s="218"/>
      <c r="B5495" s="219" t="s">
        <v>10324</v>
      </c>
      <c r="C5495" s="233"/>
    </row>
    <row r="5496" spans="1:3" x14ac:dyDescent="0.25">
      <c r="A5496" s="127" t="s">
        <v>10325</v>
      </c>
      <c r="B5496" s="137" t="s">
        <v>9318</v>
      </c>
      <c r="C5496" s="83">
        <v>279</v>
      </c>
    </row>
    <row r="5497" spans="1:3" x14ac:dyDescent="0.25">
      <c r="A5497" s="128"/>
      <c r="B5497" s="146"/>
    </row>
    <row r="5498" spans="1:3" x14ac:dyDescent="0.25">
      <c r="A5498" s="128"/>
      <c r="B5498" s="146"/>
    </row>
    <row r="5499" spans="1:3" x14ac:dyDescent="0.25">
      <c r="B5499" s="235" t="s">
        <v>9983</v>
      </c>
      <c r="C5499" s="81"/>
    </row>
    <row r="5500" spans="1:3" ht="18" x14ac:dyDescent="0.25">
      <c r="A5500" s="218"/>
      <c r="B5500" s="219" t="s">
        <v>9320</v>
      </c>
      <c r="C5500" s="233"/>
    </row>
    <row r="5501" spans="1:3" ht="47.25" x14ac:dyDescent="0.25">
      <c r="A5501" s="127" t="s">
        <v>10358</v>
      </c>
      <c r="B5501" s="4" t="s">
        <v>9322</v>
      </c>
      <c r="C5501" s="83">
        <v>679</v>
      </c>
    </row>
    <row r="5502" spans="1:3" ht="47.25" x14ac:dyDescent="0.25">
      <c r="A5502" s="127" t="s">
        <v>10359</v>
      </c>
      <c r="B5502" s="4" t="s">
        <v>9324</v>
      </c>
      <c r="C5502" s="83">
        <v>699</v>
      </c>
    </row>
    <row r="5503" spans="1:3" ht="47.25" x14ac:dyDescent="0.25">
      <c r="A5503" s="127" t="s">
        <v>10360</v>
      </c>
      <c r="B5503" s="4" t="s">
        <v>9326</v>
      </c>
      <c r="C5503" s="83">
        <v>699</v>
      </c>
    </row>
    <row r="5504" spans="1:3" x14ac:dyDescent="0.25">
      <c r="A5504" s="128"/>
      <c r="B5504" s="73"/>
    </row>
    <row r="5505" spans="1:3" x14ac:dyDescent="0.25">
      <c r="B5505" s="235" t="s">
        <v>9986</v>
      </c>
      <c r="C5505" s="81"/>
    </row>
    <row r="5506" spans="1:3" ht="18" x14ac:dyDescent="0.25">
      <c r="A5506" s="218"/>
      <c r="B5506" s="219" t="s">
        <v>9328</v>
      </c>
      <c r="C5506" s="233"/>
    </row>
    <row r="5507" spans="1:3" ht="63" x14ac:dyDescent="0.25">
      <c r="A5507" s="127" t="s">
        <v>10361</v>
      </c>
      <c r="B5507" s="4" t="s">
        <v>9330</v>
      </c>
      <c r="C5507" s="83">
        <v>889</v>
      </c>
    </row>
    <row r="5508" spans="1:3" ht="47.25" x14ac:dyDescent="0.25">
      <c r="A5508" s="127" t="s">
        <v>10362</v>
      </c>
      <c r="B5508" s="4" t="s">
        <v>9332</v>
      </c>
      <c r="C5508" s="83">
        <v>459</v>
      </c>
    </row>
    <row r="5509" spans="1:3" ht="63" x14ac:dyDescent="0.25">
      <c r="A5509" s="127" t="s">
        <v>10363</v>
      </c>
      <c r="B5509" s="4" t="s">
        <v>9336</v>
      </c>
      <c r="C5509" s="83">
        <v>929</v>
      </c>
    </row>
    <row r="5510" spans="1:3" ht="63" x14ac:dyDescent="0.25">
      <c r="A5510" s="127" t="s">
        <v>10364</v>
      </c>
      <c r="B5510" s="4" t="s">
        <v>10365</v>
      </c>
      <c r="C5510" s="83">
        <v>929</v>
      </c>
    </row>
    <row r="5511" spans="1:3" x14ac:dyDescent="0.25">
      <c r="A5511" s="128"/>
      <c r="B5511" s="73"/>
    </row>
    <row r="5512" spans="1:3" x14ac:dyDescent="0.25">
      <c r="B5512" s="235" t="s">
        <v>10366</v>
      </c>
      <c r="C5512" s="81"/>
    </row>
    <row r="5513" spans="1:3" ht="18" x14ac:dyDescent="0.25">
      <c r="A5513" s="218"/>
      <c r="B5513" s="219" t="s">
        <v>9347</v>
      </c>
      <c r="C5513" s="233"/>
    </row>
    <row r="5514" spans="1:3" ht="94.5" x14ac:dyDescent="0.25">
      <c r="A5514" s="127" t="s">
        <v>10367</v>
      </c>
      <c r="B5514" s="4" t="s">
        <v>10368</v>
      </c>
      <c r="C5514" s="83">
        <v>359</v>
      </c>
    </row>
    <row r="5515" spans="1:3" ht="94.5" x14ac:dyDescent="0.25">
      <c r="A5515" s="127" t="s">
        <v>10369</v>
      </c>
      <c r="B5515" s="4" t="s">
        <v>10370</v>
      </c>
      <c r="C5515" s="83">
        <v>409</v>
      </c>
    </row>
    <row r="5516" spans="1:3" ht="110.25" x14ac:dyDescent="0.25">
      <c r="A5516" s="127" t="s">
        <v>998</v>
      </c>
      <c r="B5516" s="4" t="s">
        <v>10371</v>
      </c>
      <c r="C5516" s="83">
        <v>329</v>
      </c>
    </row>
    <row r="5517" spans="1:3" ht="110.25" x14ac:dyDescent="0.25">
      <c r="A5517" s="127" t="s">
        <v>10372</v>
      </c>
      <c r="B5517" s="4" t="s">
        <v>10373</v>
      </c>
      <c r="C5517" s="83">
        <v>329</v>
      </c>
    </row>
    <row r="5518" spans="1:3" x14ac:dyDescent="0.25">
      <c r="A5518" s="128"/>
      <c r="B5518" s="73"/>
    </row>
    <row r="5519" spans="1:3" ht="18" x14ac:dyDescent="0.25">
      <c r="A5519" s="225"/>
      <c r="B5519" s="219" t="s">
        <v>9355</v>
      </c>
      <c r="C5519" s="233"/>
    </row>
    <row r="5520" spans="1:3" ht="47.25" x14ac:dyDescent="0.25">
      <c r="A5520" s="127" t="s">
        <v>10374</v>
      </c>
      <c r="B5520" s="4" t="s">
        <v>10375</v>
      </c>
      <c r="C5520" s="83">
        <v>259</v>
      </c>
    </row>
    <row r="5521" spans="1:3" ht="94.5" x14ac:dyDescent="0.25">
      <c r="A5521" s="127" t="s">
        <v>10376</v>
      </c>
      <c r="B5521" s="4" t="s">
        <v>10377</v>
      </c>
      <c r="C5521" s="83">
        <v>489</v>
      </c>
    </row>
    <row r="5522" spans="1:3" ht="63" x14ac:dyDescent="0.25">
      <c r="A5522" s="127" t="s">
        <v>10378</v>
      </c>
      <c r="B5522" s="4" t="s">
        <v>10379</v>
      </c>
      <c r="C5522" s="83">
        <v>259</v>
      </c>
    </row>
    <row r="5523" spans="1:3" x14ac:dyDescent="0.25">
      <c r="A5523" s="71"/>
      <c r="B5523" s="139"/>
    </row>
    <row r="5524" spans="1:3" x14ac:dyDescent="0.25">
      <c r="A5524" s="236"/>
      <c r="B5524" s="235" t="s">
        <v>10366</v>
      </c>
      <c r="C5524" s="242"/>
    </row>
    <row r="5525" spans="1:3" ht="18" x14ac:dyDescent="0.25">
      <c r="A5525" s="216"/>
      <c r="B5525" s="217" t="s">
        <v>9366</v>
      </c>
      <c r="C5525" s="230"/>
    </row>
    <row r="5526" spans="1:3" ht="47.25" x14ac:dyDescent="0.25">
      <c r="A5526" s="127" t="s">
        <v>1004</v>
      </c>
      <c r="B5526" s="4" t="s">
        <v>10380</v>
      </c>
      <c r="C5526" s="83">
        <v>339</v>
      </c>
    </row>
    <row r="5527" spans="1:3" ht="47.25" x14ac:dyDescent="0.25">
      <c r="A5527" s="127" t="s">
        <v>1010</v>
      </c>
      <c r="B5527" s="4" t="s">
        <v>9832</v>
      </c>
      <c r="C5527" s="83">
        <v>249</v>
      </c>
    </row>
    <row r="5528" spans="1:3" x14ac:dyDescent="0.25">
      <c r="A5528" s="151"/>
      <c r="B5528" s="152"/>
      <c r="C5528" s="90"/>
    </row>
    <row r="5529" spans="1:3" x14ac:dyDescent="0.25">
      <c r="B5529" s="235" t="s">
        <v>10366</v>
      </c>
      <c r="C5529" s="81"/>
    </row>
    <row r="5530" spans="1:3" ht="18" x14ac:dyDescent="0.25">
      <c r="A5530" s="218"/>
      <c r="B5530" s="219" t="s">
        <v>10381</v>
      </c>
      <c r="C5530" s="233"/>
    </row>
    <row r="5531" spans="1:3" ht="18" x14ac:dyDescent="0.25">
      <c r="A5531" s="218"/>
      <c r="B5531" s="228" t="s">
        <v>10382</v>
      </c>
      <c r="C5531" s="233"/>
    </row>
    <row r="5532" spans="1:3" ht="18" x14ac:dyDescent="0.25">
      <c r="A5532" s="218"/>
      <c r="B5532" s="243" t="s">
        <v>10383</v>
      </c>
      <c r="C5532" s="233"/>
    </row>
    <row r="5533" spans="1:3" ht="110.25" x14ac:dyDescent="0.25">
      <c r="A5533" s="127" t="s">
        <v>10384</v>
      </c>
      <c r="B5533" s="4" t="s">
        <v>10385</v>
      </c>
      <c r="C5533" s="83">
        <v>4119</v>
      </c>
    </row>
    <row r="5534" spans="1:3" ht="141.75" x14ac:dyDescent="0.25">
      <c r="A5534" s="127" t="s">
        <v>10386</v>
      </c>
      <c r="B5534" s="4" t="s">
        <v>10387</v>
      </c>
      <c r="C5534" s="83">
        <v>4119</v>
      </c>
    </row>
    <row r="5535" spans="1:3" x14ac:dyDescent="0.25">
      <c r="A5535" s="128"/>
      <c r="B5535" s="73"/>
    </row>
    <row r="5536" spans="1:3" ht="18" x14ac:dyDescent="0.25">
      <c r="A5536" s="218"/>
      <c r="B5536" s="219" t="s">
        <v>10381</v>
      </c>
      <c r="C5536" s="233"/>
    </row>
    <row r="5537" spans="1:3" ht="36" x14ac:dyDescent="0.25">
      <c r="A5537" s="218"/>
      <c r="B5537" s="228" t="s">
        <v>10388</v>
      </c>
      <c r="C5537" s="233"/>
    </row>
    <row r="5538" spans="1:3" ht="18" x14ac:dyDescent="0.25">
      <c r="A5538" s="218"/>
      <c r="B5538" s="243" t="s">
        <v>10383</v>
      </c>
      <c r="C5538" s="233"/>
    </row>
    <row r="5539" spans="1:3" ht="126" x14ac:dyDescent="0.25">
      <c r="A5539" s="127" t="s">
        <v>10389</v>
      </c>
      <c r="B5539" s="4" t="s">
        <v>10390</v>
      </c>
      <c r="C5539" s="83">
        <v>4839</v>
      </c>
    </row>
    <row r="5540" spans="1:3" ht="157.5" x14ac:dyDescent="0.25">
      <c r="A5540" s="127" t="s">
        <v>10391</v>
      </c>
      <c r="B5540" s="4" t="s">
        <v>10392</v>
      </c>
      <c r="C5540" s="83">
        <v>4839</v>
      </c>
    </row>
    <row r="5541" spans="1:3" x14ac:dyDescent="0.25">
      <c r="A5541" s="71"/>
      <c r="B5541" s="139"/>
    </row>
    <row r="5542" spans="1:3" ht="18" x14ac:dyDescent="0.25">
      <c r="A5542" s="200"/>
      <c r="B5542" s="193" t="s">
        <v>9382</v>
      </c>
      <c r="C5542" s="233"/>
    </row>
    <row r="5543" spans="1:3" ht="18" x14ac:dyDescent="0.25">
      <c r="A5543" s="200"/>
      <c r="B5543" s="193" t="s">
        <v>9383</v>
      </c>
      <c r="C5543" s="233"/>
    </row>
    <row r="5544" spans="1:3" ht="18" x14ac:dyDescent="0.25">
      <c r="A5544" s="200"/>
      <c r="B5544" s="243" t="s">
        <v>10383</v>
      </c>
      <c r="C5544" s="233"/>
    </row>
    <row r="5545" spans="1:3" ht="110.25" x14ac:dyDescent="0.25">
      <c r="A5545" s="125" t="s">
        <v>10393</v>
      </c>
      <c r="B5545" s="66" t="s">
        <v>10394</v>
      </c>
      <c r="C5545" s="83">
        <v>3239</v>
      </c>
    </row>
    <row r="5546" spans="1:3" ht="141.75" x14ac:dyDescent="0.25">
      <c r="A5546" s="125" t="s">
        <v>10395</v>
      </c>
      <c r="B5546" s="66" t="s">
        <v>10396</v>
      </c>
      <c r="C5546" s="83">
        <v>3239</v>
      </c>
    </row>
    <row r="5547" spans="1:3" x14ac:dyDescent="0.25">
      <c r="A5547" s="71"/>
      <c r="B5547" s="139"/>
    </row>
    <row r="5548" spans="1:3" ht="36" x14ac:dyDescent="0.25">
      <c r="A5548" s="218"/>
      <c r="B5548" s="219" t="s">
        <v>9388</v>
      </c>
      <c r="C5548" s="233"/>
    </row>
    <row r="5549" spans="1:3" ht="31.5" x14ac:dyDescent="0.25">
      <c r="A5549" s="22" t="s">
        <v>10397</v>
      </c>
      <c r="B5549" s="4" t="s">
        <v>9390</v>
      </c>
      <c r="C5549" s="83">
        <v>289</v>
      </c>
    </row>
    <row r="5550" spans="1:3" x14ac:dyDescent="0.25">
      <c r="A5550" s="71"/>
      <c r="B5550" s="139"/>
    </row>
    <row r="5551" spans="1:3" ht="36" x14ac:dyDescent="0.25">
      <c r="A5551" s="218"/>
      <c r="B5551" s="228" t="s">
        <v>9834</v>
      </c>
      <c r="C5551" s="233"/>
    </row>
    <row r="5552" spans="1:3" ht="78.75" x14ac:dyDescent="0.25">
      <c r="A5552" s="22" t="s">
        <v>10398</v>
      </c>
      <c r="B5552" s="4" t="s">
        <v>9836</v>
      </c>
      <c r="C5552" s="83">
        <v>89</v>
      </c>
    </row>
    <row r="5553" spans="1:3" x14ac:dyDescent="0.25">
      <c r="A5553" s="71"/>
      <c r="B5553" s="139"/>
    </row>
    <row r="5554" spans="1:3" ht="18" x14ac:dyDescent="0.25">
      <c r="A5554" s="218"/>
      <c r="B5554" s="219" t="s">
        <v>10399</v>
      </c>
      <c r="C5554" s="233"/>
    </row>
    <row r="5555" spans="1:3" ht="18" x14ac:dyDescent="0.25">
      <c r="A5555" s="218"/>
      <c r="B5555" s="219" t="s">
        <v>9421</v>
      </c>
      <c r="C5555" s="233"/>
    </row>
    <row r="5556" spans="1:3" ht="126" x14ac:dyDescent="0.25">
      <c r="A5556" s="127" t="s">
        <v>10400</v>
      </c>
      <c r="B5556" s="4" t="s">
        <v>10401</v>
      </c>
      <c r="C5556" s="83">
        <v>1239</v>
      </c>
    </row>
    <row r="5557" spans="1:3" ht="126" x14ac:dyDescent="0.25">
      <c r="A5557" s="127" t="s">
        <v>10402</v>
      </c>
      <c r="B5557" s="4" t="s">
        <v>10403</v>
      </c>
      <c r="C5557" s="83">
        <v>1959</v>
      </c>
    </row>
    <row r="5558" spans="1:3" x14ac:dyDescent="0.25">
      <c r="A5558" s="71"/>
      <c r="B5558" s="139"/>
    </row>
    <row r="5559" spans="1:3" ht="36" x14ac:dyDescent="0.25">
      <c r="A5559" s="218"/>
      <c r="B5559" s="219" t="s">
        <v>10404</v>
      </c>
      <c r="C5559" s="233"/>
    </row>
    <row r="5560" spans="1:3" ht="141.75" x14ac:dyDescent="0.25">
      <c r="A5560" s="127" t="s">
        <v>10405</v>
      </c>
      <c r="B5560" s="4" t="s">
        <v>10406</v>
      </c>
      <c r="C5560" s="83">
        <v>1909</v>
      </c>
    </row>
    <row r="5561" spans="1:3" ht="141.75" x14ac:dyDescent="0.25">
      <c r="A5561" s="127" t="s">
        <v>10407</v>
      </c>
      <c r="B5561" s="4" t="s">
        <v>10408</v>
      </c>
      <c r="C5561" s="83">
        <v>1919</v>
      </c>
    </row>
    <row r="5562" spans="1:3" ht="141.75" x14ac:dyDescent="0.25">
      <c r="A5562" s="127" t="s">
        <v>10409</v>
      </c>
      <c r="B5562" s="4" t="s">
        <v>10410</v>
      </c>
      <c r="C5562" s="83">
        <v>2489</v>
      </c>
    </row>
    <row r="5563" spans="1:3" ht="141.75" x14ac:dyDescent="0.25">
      <c r="A5563" s="127" t="s">
        <v>10411</v>
      </c>
      <c r="B5563" s="4" t="s">
        <v>10412</v>
      </c>
      <c r="C5563" s="83">
        <v>2499</v>
      </c>
    </row>
    <row r="5564" spans="1:3" x14ac:dyDescent="0.25">
      <c r="A5564" s="71"/>
      <c r="B5564" s="139"/>
    </row>
    <row r="5565" spans="1:3" ht="18" x14ac:dyDescent="0.25">
      <c r="A5565" s="218"/>
      <c r="B5565" s="219" t="s">
        <v>10413</v>
      </c>
      <c r="C5565" s="233"/>
    </row>
    <row r="5566" spans="1:3" ht="36" x14ac:dyDescent="0.25">
      <c r="A5566" s="218"/>
      <c r="B5566" s="219" t="s">
        <v>15806</v>
      </c>
      <c r="C5566" s="233"/>
    </row>
    <row r="5567" spans="1:3" ht="47.25" x14ac:dyDescent="0.25">
      <c r="A5567" s="127" t="s">
        <v>8298</v>
      </c>
      <c r="B5567" s="4" t="s">
        <v>9423</v>
      </c>
      <c r="C5567" s="83">
        <v>1239</v>
      </c>
    </row>
    <row r="5568" spans="1:3" ht="47.25" x14ac:dyDescent="0.25">
      <c r="A5568" s="127" t="s">
        <v>10414</v>
      </c>
      <c r="B5568" s="4" t="s">
        <v>9425</v>
      </c>
      <c r="C5568" s="83">
        <v>1959</v>
      </c>
    </row>
    <row r="5569" spans="1:3" x14ac:dyDescent="0.25">
      <c r="A5569" s="71"/>
      <c r="B5569" s="139"/>
    </row>
    <row r="5570" spans="1:3" ht="18" x14ac:dyDescent="0.25">
      <c r="A5570" s="218"/>
      <c r="B5570" s="219" t="s">
        <v>10413</v>
      </c>
      <c r="C5570" s="233"/>
    </row>
    <row r="5571" spans="1:3" ht="36" x14ac:dyDescent="0.25">
      <c r="A5571" s="218"/>
      <c r="B5571" s="219" t="s">
        <v>15807</v>
      </c>
      <c r="C5571" s="233"/>
    </row>
    <row r="5572" spans="1:3" ht="94.5" x14ac:dyDescent="0.25">
      <c r="A5572" s="127" t="s">
        <v>10415</v>
      </c>
      <c r="B5572" s="4" t="s">
        <v>10416</v>
      </c>
      <c r="C5572" s="83">
        <v>1909</v>
      </c>
    </row>
    <row r="5573" spans="1:3" ht="94.5" x14ac:dyDescent="0.25">
      <c r="A5573" s="127" t="s">
        <v>10417</v>
      </c>
      <c r="B5573" s="4" t="s">
        <v>10418</v>
      </c>
      <c r="C5573" s="83">
        <v>1919</v>
      </c>
    </row>
    <row r="5574" spans="1:3" ht="94.5" x14ac:dyDescent="0.25">
      <c r="A5574" s="127" t="s">
        <v>10419</v>
      </c>
      <c r="B5574" s="4" t="s">
        <v>10420</v>
      </c>
      <c r="C5574" s="83">
        <v>2609</v>
      </c>
    </row>
    <row r="5575" spans="1:3" ht="94.5" x14ac:dyDescent="0.25">
      <c r="A5575" s="127" t="s">
        <v>10421</v>
      </c>
      <c r="B5575" s="4" t="s">
        <v>10422</v>
      </c>
      <c r="C5575" s="83">
        <v>2619</v>
      </c>
    </row>
    <row r="5576" spans="1:3" x14ac:dyDescent="0.25">
      <c r="A5576" s="71"/>
      <c r="B5576" s="139"/>
    </row>
    <row r="5577" spans="1:3" x14ac:dyDescent="0.25">
      <c r="A5577" s="123"/>
      <c r="B5577" s="235" t="s">
        <v>10423</v>
      </c>
      <c r="C5577" s="89"/>
    </row>
    <row r="5578" spans="1:3" ht="54" x14ac:dyDescent="0.25">
      <c r="A5578" s="218"/>
      <c r="B5578" s="244" t="s">
        <v>15808</v>
      </c>
      <c r="C5578" s="233"/>
    </row>
    <row r="5579" spans="1:3" ht="36" x14ac:dyDescent="0.25">
      <c r="A5579" s="218"/>
      <c r="B5579" s="244" t="s">
        <v>15809</v>
      </c>
      <c r="C5579" s="233"/>
    </row>
    <row r="5580" spans="1:3" ht="36" x14ac:dyDescent="0.25">
      <c r="A5580" s="218"/>
      <c r="B5580" s="245" t="s">
        <v>10424</v>
      </c>
      <c r="C5580" s="233"/>
    </row>
    <row r="5581" spans="1:3" ht="47.25" x14ac:dyDescent="0.25">
      <c r="A5581" s="127" t="s">
        <v>10425</v>
      </c>
      <c r="B5581" s="154" t="s">
        <v>9423</v>
      </c>
      <c r="C5581" s="83">
        <v>1559</v>
      </c>
    </row>
    <row r="5582" spans="1:3" ht="47.25" x14ac:dyDescent="0.25">
      <c r="A5582" s="125" t="s">
        <v>10426</v>
      </c>
      <c r="B5582" s="154" t="s">
        <v>9425</v>
      </c>
      <c r="C5582" s="83">
        <v>2029</v>
      </c>
    </row>
    <row r="5583" spans="1:3" x14ac:dyDescent="0.25">
      <c r="A5583" s="126"/>
      <c r="B5583" s="153"/>
    </row>
    <row r="5584" spans="1:3" x14ac:dyDescent="0.25">
      <c r="A5584" s="71"/>
      <c r="B5584" s="235" t="s">
        <v>10423</v>
      </c>
    </row>
    <row r="5585" spans="1:3" ht="54" x14ac:dyDescent="0.25">
      <c r="A5585" s="218"/>
      <c r="B5585" s="244" t="s">
        <v>15808</v>
      </c>
      <c r="C5585" s="233"/>
    </row>
    <row r="5586" spans="1:3" ht="18" x14ac:dyDescent="0.25">
      <c r="A5586" s="218"/>
      <c r="B5586" s="244" t="s">
        <v>10427</v>
      </c>
      <c r="C5586" s="233"/>
    </row>
    <row r="5587" spans="1:3" ht="94.5" x14ac:dyDescent="0.25">
      <c r="A5587" s="127" t="s">
        <v>10428</v>
      </c>
      <c r="B5587" s="154" t="s">
        <v>10416</v>
      </c>
      <c r="C5587" s="83">
        <v>2219</v>
      </c>
    </row>
    <row r="5588" spans="1:3" ht="94.5" x14ac:dyDescent="0.25">
      <c r="A5588" s="127" t="s">
        <v>10429</v>
      </c>
      <c r="B5588" s="154" t="s">
        <v>10418</v>
      </c>
      <c r="C5588" s="83">
        <v>2229</v>
      </c>
    </row>
    <row r="5589" spans="1:3" ht="94.5" x14ac:dyDescent="0.25">
      <c r="A5589" s="127" t="s">
        <v>10430</v>
      </c>
      <c r="B5589" s="154" t="s">
        <v>10420</v>
      </c>
      <c r="C5589" s="83">
        <v>2919</v>
      </c>
    </row>
    <row r="5590" spans="1:3" ht="94.5" x14ac:dyDescent="0.25">
      <c r="A5590" s="127" t="s">
        <v>10431</v>
      </c>
      <c r="B5590" s="154" t="s">
        <v>10422</v>
      </c>
      <c r="C5590" s="83">
        <v>2929</v>
      </c>
    </row>
    <row r="5591" spans="1:3" x14ac:dyDescent="0.25">
      <c r="A5591" s="128"/>
      <c r="B5591" s="153"/>
    </row>
    <row r="5592" spans="1:3" x14ac:dyDescent="0.25">
      <c r="A5592" s="71"/>
      <c r="B5592" s="235" t="s">
        <v>10423</v>
      </c>
    </row>
    <row r="5593" spans="1:3" ht="18" x14ac:dyDescent="0.25">
      <c r="A5593" s="218"/>
      <c r="B5593" s="219" t="s">
        <v>10432</v>
      </c>
      <c r="C5593" s="233"/>
    </row>
    <row r="5594" spans="1:3" ht="36" x14ac:dyDescent="0.25">
      <c r="A5594" s="218"/>
      <c r="B5594" s="245" t="s">
        <v>10433</v>
      </c>
      <c r="C5594" s="233"/>
    </row>
    <row r="5595" spans="1:3" x14ac:dyDescent="0.25">
      <c r="A5595" s="125" t="s">
        <v>10434</v>
      </c>
      <c r="B5595" s="154" t="s">
        <v>10435</v>
      </c>
      <c r="C5595" s="83">
        <v>310</v>
      </c>
    </row>
    <row r="5596" spans="1:3" x14ac:dyDescent="0.25">
      <c r="A5596" s="126"/>
      <c r="B5596" s="153"/>
    </row>
    <row r="5597" spans="1:3" x14ac:dyDescent="0.25">
      <c r="A5597" s="126"/>
      <c r="B5597" s="235" t="s">
        <v>10436</v>
      </c>
    </row>
    <row r="5598" spans="1:3" ht="36" x14ac:dyDescent="0.25">
      <c r="A5598" s="205"/>
      <c r="B5598" s="193" t="s">
        <v>9434</v>
      </c>
      <c r="C5598" s="233"/>
    </row>
    <row r="5599" spans="1:3" ht="78.75" x14ac:dyDescent="0.25">
      <c r="A5599" s="125" t="s">
        <v>10437</v>
      </c>
      <c r="B5599" s="66" t="s">
        <v>9436</v>
      </c>
      <c r="C5599" s="83">
        <v>619</v>
      </c>
    </row>
    <row r="5600" spans="1:3" x14ac:dyDescent="0.25">
      <c r="A5600" s="71"/>
      <c r="B5600" s="139"/>
    </row>
    <row r="5601" spans="1:3" ht="36" x14ac:dyDescent="0.25">
      <c r="A5601" s="218"/>
      <c r="B5601" s="219" t="s">
        <v>10438</v>
      </c>
      <c r="C5601" s="233"/>
    </row>
    <row r="5602" spans="1:3" ht="18" x14ac:dyDescent="0.25">
      <c r="A5602" s="177" t="s">
        <v>9459</v>
      </c>
      <c r="B5602" s="219" t="s">
        <v>9458</v>
      </c>
      <c r="C5602" s="233"/>
    </row>
    <row r="5603" spans="1:3" ht="47.25" x14ac:dyDescent="0.25">
      <c r="A5603" s="127" t="s">
        <v>10439</v>
      </c>
      <c r="B5603" s="4" t="s">
        <v>9462</v>
      </c>
      <c r="C5603" s="83">
        <v>1259</v>
      </c>
    </row>
    <row r="5604" spans="1:3" ht="47.25" x14ac:dyDescent="0.25">
      <c r="A5604" s="127" t="s">
        <v>10440</v>
      </c>
      <c r="B5604" s="4" t="s">
        <v>9464</v>
      </c>
      <c r="C5604" s="83">
        <v>1479</v>
      </c>
    </row>
    <row r="5605" spans="1:3" ht="47.25" x14ac:dyDescent="0.25">
      <c r="A5605" s="127" t="s">
        <v>10441</v>
      </c>
      <c r="B5605" s="4" t="s">
        <v>9466</v>
      </c>
      <c r="C5605" s="83">
        <v>1479</v>
      </c>
    </row>
    <row r="5606" spans="1:3" ht="47.25" x14ac:dyDescent="0.25">
      <c r="A5606" s="127" t="s">
        <v>10442</v>
      </c>
      <c r="B5606" s="154" t="s">
        <v>9468</v>
      </c>
      <c r="C5606" s="83">
        <v>1799</v>
      </c>
    </row>
    <row r="5607" spans="1:3" ht="18" x14ac:dyDescent="0.25">
      <c r="A5607" s="177" t="s">
        <v>9469</v>
      </c>
      <c r="B5607" s="238"/>
      <c r="C5607" s="233"/>
    </row>
    <row r="5608" spans="1:3" ht="47.25" x14ac:dyDescent="0.25">
      <c r="A5608" s="127" t="s">
        <v>10443</v>
      </c>
      <c r="B5608" s="4" t="s">
        <v>9471</v>
      </c>
      <c r="C5608" s="83">
        <v>1359</v>
      </c>
    </row>
    <row r="5609" spans="1:3" ht="47.25" x14ac:dyDescent="0.25">
      <c r="A5609" s="127" t="s">
        <v>10444</v>
      </c>
      <c r="B5609" s="4" t="s">
        <v>9473</v>
      </c>
      <c r="C5609" s="83">
        <v>1579</v>
      </c>
    </row>
    <row r="5610" spans="1:3" ht="47.25" x14ac:dyDescent="0.25">
      <c r="A5610" s="127" t="s">
        <v>10445</v>
      </c>
      <c r="B5610" s="4" t="s">
        <v>9475</v>
      </c>
      <c r="C5610" s="83">
        <v>1579</v>
      </c>
    </row>
    <row r="5611" spans="1:3" ht="47.25" x14ac:dyDescent="0.25">
      <c r="A5611" s="127" t="s">
        <v>10446</v>
      </c>
      <c r="B5611" s="154" t="s">
        <v>10447</v>
      </c>
      <c r="C5611" s="83">
        <v>1899</v>
      </c>
    </row>
    <row r="5612" spans="1:3" ht="47.25" x14ac:dyDescent="0.25">
      <c r="A5612" s="127" t="s">
        <v>10448</v>
      </c>
      <c r="B5612" s="154" t="s">
        <v>9479</v>
      </c>
      <c r="C5612" s="83">
        <v>1799</v>
      </c>
    </row>
    <row r="5613" spans="1:3" ht="18" x14ac:dyDescent="0.25">
      <c r="A5613" s="177" t="s">
        <v>9480</v>
      </c>
      <c r="B5613" s="238"/>
      <c r="C5613" s="233"/>
    </row>
    <row r="5614" spans="1:3" ht="47.25" x14ac:dyDescent="0.25">
      <c r="A5614" s="127" t="s">
        <v>10449</v>
      </c>
      <c r="B5614" s="4" t="s">
        <v>9482</v>
      </c>
      <c r="C5614" s="83">
        <v>1879</v>
      </c>
    </row>
    <row r="5615" spans="1:3" ht="47.25" x14ac:dyDescent="0.25">
      <c r="A5615" s="127" t="s">
        <v>10450</v>
      </c>
      <c r="B5615" s="4" t="s">
        <v>9484</v>
      </c>
      <c r="C5615" s="83">
        <v>2099</v>
      </c>
    </row>
    <row r="5616" spans="1:3" ht="47.25" x14ac:dyDescent="0.25">
      <c r="A5616" s="127" t="s">
        <v>10451</v>
      </c>
      <c r="B5616" s="4" t="s">
        <v>9486</v>
      </c>
      <c r="C5616" s="83">
        <v>2099</v>
      </c>
    </row>
    <row r="5617" spans="1:3" ht="47.25" x14ac:dyDescent="0.25">
      <c r="A5617" s="127" t="s">
        <v>10452</v>
      </c>
      <c r="B5617" s="4" t="s">
        <v>9488</v>
      </c>
      <c r="C5617" s="83">
        <v>1879</v>
      </c>
    </row>
    <row r="5618" spans="1:3" ht="47.25" x14ac:dyDescent="0.25">
      <c r="A5618" s="127" t="s">
        <v>10453</v>
      </c>
      <c r="B5618" s="4" t="s">
        <v>9490</v>
      </c>
      <c r="C5618" s="83">
        <v>2099</v>
      </c>
    </row>
    <row r="5619" spans="1:3" ht="47.25" x14ac:dyDescent="0.25">
      <c r="A5619" s="127" t="s">
        <v>10454</v>
      </c>
      <c r="B5619" s="4" t="s">
        <v>9492</v>
      </c>
      <c r="C5619" s="83">
        <v>2099</v>
      </c>
    </row>
    <row r="5620" spans="1:3" ht="47.25" x14ac:dyDescent="0.25">
      <c r="A5620" s="127" t="s">
        <v>10455</v>
      </c>
      <c r="B5620" s="4" t="s">
        <v>9494</v>
      </c>
      <c r="C5620" s="83">
        <v>2059</v>
      </c>
    </row>
    <row r="5621" spans="1:3" ht="47.25" x14ac:dyDescent="0.25">
      <c r="A5621" s="127" t="s">
        <v>10456</v>
      </c>
      <c r="B5621" s="4" t="s">
        <v>9496</v>
      </c>
      <c r="C5621" s="83">
        <v>2039</v>
      </c>
    </row>
    <row r="5622" spans="1:3" ht="18" x14ac:dyDescent="0.25">
      <c r="A5622" s="177" t="s">
        <v>9497</v>
      </c>
      <c r="B5622" s="238"/>
      <c r="C5622" s="233"/>
    </row>
    <row r="5623" spans="1:3" ht="47.25" x14ac:dyDescent="0.25">
      <c r="A5623" s="127" t="s">
        <v>10457</v>
      </c>
      <c r="B5623" s="4" t="s">
        <v>9499</v>
      </c>
      <c r="C5623" s="83">
        <v>1879</v>
      </c>
    </row>
    <row r="5624" spans="1:3" ht="47.25" x14ac:dyDescent="0.25">
      <c r="A5624" s="127" t="s">
        <v>10458</v>
      </c>
      <c r="B5624" s="4" t="s">
        <v>9501</v>
      </c>
      <c r="C5624" s="83">
        <v>2099</v>
      </c>
    </row>
    <row r="5625" spans="1:3" ht="47.25" x14ac:dyDescent="0.25">
      <c r="A5625" s="127" t="s">
        <v>10459</v>
      </c>
      <c r="B5625" s="4" t="s">
        <v>9503</v>
      </c>
      <c r="C5625" s="83">
        <v>2099</v>
      </c>
    </row>
    <row r="5626" spans="1:3" ht="47.25" x14ac:dyDescent="0.25">
      <c r="A5626" s="127" t="s">
        <v>10460</v>
      </c>
      <c r="B5626" s="4" t="s">
        <v>9505</v>
      </c>
      <c r="C5626" s="83">
        <v>1879</v>
      </c>
    </row>
    <row r="5627" spans="1:3" ht="47.25" x14ac:dyDescent="0.25">
      <c r="A5627" s="127" t="s">
        <v>10461</v>
      </c>
      <c r="B5627" s="4" t="s">
        <v>9507</v>
      </c>
      <c r="C5627" s="83">
        <v>2099</v>
      </c>
    </row>
    <row r="5628" spans="1:3" ht="47.25" x14ac:dyDescent="0.25">
      <c r="A5628" s="127" t="s">
        <v>10462</v>
      </c>
      <c r="B5628" s="4" t="s">
        <v>9509</v>
      </c>
      <c r="C5628" s="83">
        <v>2099</v>
      </c>
    </row>
    <row r="5629" spans="1:3" ht="47.25" x14ac:dyDescent="0.25">
      <c r="A5629" s="127" t="s">
        <v>10463</v>
      </c>
      <c r="B5629" s="4" t="s">
        <v>9511</v>
      </c>
      <c r="C5629" s="83">
        <v>2059</v>
      </c>
    </row>
    <row r="5630" spans="1:3" ht="47.25" x14ac:dyDescent="0.25">
      <c r="A5630" s="127" t="s">
        <v>10464</v>
      </c>
      <c r="B5630" s="4" t="s">
        <v>9513</v>
      </c>
      <c r="C5630" s="83">
        <v>2039</v>
      </c>
    </row>
    <row r="5631" spans="1:3" x14ac:dyDescent="0.25">
      <c r="A5631" s="236" t="s">
        <v>9549</v>
      </c>
      <c r="B5631" s="139"/>
    </row>
    <row r="5632" spans="1:3" x14ac:dyDescent="0.25">
      <c r="A5632" s="149"/>
      <c r="B5632" s="139"/>
    </row>
    <row r="5633" spans="1:3" ht="54" x14ac:dyDescent="0.25">
      <c r="A5633" s="218"/>
      <c r="B5633" s="219" t="s">
        <v>15810</v>
      </c>
      <c r="C5633" s="233"/>
    </row>
    <row r="5634" spans="1:3" ht="31.5" x14ac:dyDescent="0.25">
      <c r="A5634" s="127" t="s">
        <v>10465</v>
      </c>
      <c r="B5634" s="66" t="s">
        <v>10466</v>
      </c>
      <c r="C5634" s="83">
        <v>3489</v>
      </c>
    </row>
    <row r="5635" spans="1:3" ht="31.5" x14ac:dyDescent="0.25">
      <c r="A5635" s="74" t="s">
        <v>10467</v>
      </c>
      <c r="B5635" s="66" t="s">
        <v>10468</v>
      </c>
      <c r="C5635" s="83">
        <v>719</v>
      </c>
    </row>
    <row r="5636" spans="1:3" x14ac:dyDescent="0.25">
      <c r="A5636" s="75"/>
      <c r="B5636" s="72"/>
    </row>
    <row r="5637" spans="1:3" ht="54" x14ac:dyDescent="0.25">
      <c r="A5637" s="218"/>
      <c r="B5637" s="219" t="s">
        <v>15811</v>
      </c>
      <c r="C5637" s="233"/>
    </row>
    <row r="5638" spans="1:3" ht="31.5" x14ac:dyDescent="0.25">
      <c r="A5638" s="127" t="s">
        <v>10469</v>
      </c>
      <c r="B5638" s="66" t="s">
        <v>10470</v>
      </c>
      <c r="C5638" s="83">
        <v>1539</v>
      </c>
    </row>
    <row r="5639" spans="1:3" x14ac:dyDescent="0.25">
      <c r="A5639" s="71"/>
      <c r="B5639" s="139"/>
    </row>
    <row r="5640" spans="1:3" ht="18" x14ac:dyDescent="0.25">
      <c r="A5640" s="218"/>
      <c r="B5640" s="219" t="s">
        <v>10471</v>
      </c>
      <c r="C5640" s="233"/>
    </row>
    <row r="5641" spans="1:3" ht="18" x14ac:dyDescent="0.25">
      <c r="A5641" s="218"/>
      <c r="B5641" s="207" t="s">
        <v>10472</v>
      </c>
      <c r="C5641" s="233"/>
    </row>
    <row r="5642" spans="1:3" x14ac:dyDescent="0.25">
      <c r="A5642" s="127" t="s">
        <v>10473</v>
      </c>
      <c r="B5642" s="76" t="s">
        <v>10474</v>
      </c>
      <c r="C5642" s="83">
        <v>689</v>
      </c>
    </row>
    <row r="5643" spans="1:3" x14ac:dyDescent="0.25">
      <c r="A5643" s="127" t="s">
        <v>10475</v>
      </c>
      <c r="B5643" s="76" t="s">
        <v>10476</v>
      </c>
      <c r="C5643" s="83"/>
    </row>
    <row r="5644" spans="1:3" x14ac:dyDescent="0.25">
      <c r="A5644" s="128"/>
      <c r="B5644" s="77"/>
    </row>
    <row r="5645" spans="1:3" ht="36" x14ac:dyDescent="0.25">
      <c r="A5645" s="218"/>
      <c r="B5645" s="219" t="s">
        <v>15812</v>
      </c>
      <c r="C5645" s="233"/>
    </row>
    <row r="5646" spans="1:3" x14ac:dyDescent="0.25">
      <c r="A5646" s="22" t="s">
        <v>10477</v>
      </c>
      <c r="B5646" s="76" t="s">
        <v>10474</v>
      </c>
      <c r="C5646" s="83">
        <v>519</v>
      </c>
    </row>
    <row r="5647" spans="1:3" x14ac:dyDescent="0.25">
      <c r="A5647" s="22" t="s">
        <v>10478</v>
      </c>
      <c r="B5647" s="76" t="s">
        <v>10476</v>
      </c>
      <c r="C5647" s="83">
        <v>1139</v>
      </c>
    </row>
    <row r="5648" spans="1:3" x14ac:dyDescent="0.25">
      <c r="A5648" s="71"/>
      <c r="B5648" s="139"/>
    </row>
    <row r="5649" spans="1:3" ht="36" x14ac:dyDescent="0.25">
      <c r="A5649" s="218"/>
      <c r="B5649" s="219" t="s">
        <v>9550</v>
      </c>
      <c r="C5649" s="233"/>
    </row>
    <row r="5650" spans="1:3" ht="31.5" x14ac:dyDescent="0.25">
      <c r="A5650" s="127" t="s">
        <v>9551</v>
      </c>
      <c r="B5650" s="4" t="s">
        <v>9552</v>
      </c>
      <c r="C5650" s="83">
        <v>389.99</v>
      </c>
    </row>
    <row r="5651" spans="1:3" ht="47.25" x14ac:dyDescent="0.25">
      <c r="A5651" s="127" t="s">
        <v>9553</v>
      </c>
      <c r="B5651" s="4" t="s">
        <v>9554</v>
      </c>
      <c r="C5651" s="83">
        <v>479</v>
      </c>
    </row>
    <row r="5652" spans="1:3" ht="47.25" x14ac:dyDescent="0.25">
      <c r="A5652" s="127" t="s">
        <v>9555</v>
      </c>
      <c r="B5652" s="4" t="s">
        <v>9556</v>
      </c>
      <c r="C5652" s="83">
        <v>479</v>
      </c>
    </row>
    <row r="5653" spans="1:3" x14ac:dyDescent="0.25">
      <c r="A5653" s="71"/>
      <c r="B5653" s="139"/>
    </row>
    <row r="5654" spans="1:3" ht="18" x14ac:dyDescent="0.25">
      <c r="A5654" s="218"/>
      <c r="B5654" s="219" t="s">
        <v>9557</v>
      </c>
      <c r="C5654" s="233"/>
    </row>
    <row r="5655" spans="1:3" ht="47.25" x14ac:dyDescent="0.25">
      <c r="A5655" s="127" t="s">
        <v>10479</v>
      </c>
      <c r="B5655" s="4" t="s">
        <v>10480</v>
      </c>
      <c r="C5655" s="83">
        <v>309</v>
      </c>
    </row>
    <row r="5656" spans="1:3" x14ac:dyDescent="0.25">
      <c r="A5656" s="146"/>
      <c r="B5656" s="150"/>
    </row>
    <row r="5657" spans="1:3" ht="18" x14ac:dyDescent="0.25">
      <c r="A5657" s="218"/>
      <c r="B5657" s="207" t="s">
        <v>9581</v>
      </c>
      <c r="C5657" s="233"/>
    </row>
    <row r="5658" spans="1:3" ht="157.5" x14ac:dyDescent="0.25">
      <c r="A5658" s="127" t="s">
        <v>10481</v>
      </c>
      <c r="B5658" s="4" t="s">
        <v>10482</v>
      </c>
      <c r="C5658" s="83">
        <v>1609</v>
      </c>
    </row>
    <row r="5659" spans="1:3" ht="36" x14ac:dyDescent="0.25">
      <c r="A5659" s="218"/>
      <c r="B5659" s="219" t="s">
        <v>15804</v>
      </c>
      <c r="C5659" s="233"/>
    </row>
    <row r="5660" spans="1:3" ht="47.25" x14ac:dyDescent="0.25">
      <c r="A5660" s="127" t="s">
        <v>10483</v>
      </c>
      <c r="B5660" s="137" t="s">
        <v>10484</v>
      </c>
      <c r="C5660" s="83">
        <v>309.99</v>
      </c>
    </row>
    <row r="5661" spans="1:3" x14ac:dyDescent="0.25">
      <c r="A5661" s="127" t="s">
        <v>10485</v>
      </c>
      <c r="B5661" s="4" t="s">
        <v>9587</v>
      </c>
      <c r="C5661" s="83">
        <v>149</v>
      </c>
    </row>
    <row r="5662" spans="1:3" x14ac:dyDescent="0.25">
      <c r="A5662" s="127" t="s">
        <v>10372</v>
      </c>
      <c r="B5662" s="4" t="s">
        <v>9588</v>
      </c>
      <c r="C5662" s="83">
        <v>329</v>
      </c>
    </row>
    <row r="5663" spans="1:3" x14ac:dyDescent="0.25">
      <c r="A5663" s="71"/>
      <c r="B5663" s="139"/>
    </row>
    <row r="5664" spans="1:3" ht="18" x14ac:dyDescent="0.25">
      <c r="A5664" s="218"/>
      <c r="B5664" s="207" t="s">
        <v>9589</v>
      </c>
      <c r="C5664" s="233"/>
    </row>
    <row r="5665" spans="1:3" ht="54" x14ac:dyDescent="0.25">
      <c r="A5665" s="218"/>
      <c r="B5665" s="219" t="s">
        <v>9590</v>
      </c>
      <c r="C5665" s="233"/>
    </row>
    <row r="5666" spans="1:3" ht="236.25" x14ac:dyDescent="0.25">
      <c r="A5666" s="127" t="s">
        <v>10486</v>
      </c>
      <c r="B5666" s="4" t="s">
        <v>10487</v>
      </c>
      <c r="C5666" s="83">
        <v>3199</v>
      </c>
    </row>
    <row r="5667" spans="1:3" ht="236.25" x14ac:dyDescent="0.25">
      <c r="A5667" s="127" t="s">
        <v>10488</v>
      </c>
      <c r="B5667" s="4" t="s">
        <v>15590</v>
      </c>
      <c r="C5667" s="83">
        <v>3369</v>
      </c>
    </row>
    <row r="5668" spans="1:3" x14ac:dyDescent="0.25">
      <c r="A5668" s="71"/>
      <c r="B5668" s="139"/>
    </row>
    <row r="5669" spans="1:3" ht="18" x14ac:dyDescent="0.25">
      <c r="A5669" s="218"/>
      <c r="B5669" s="219" t="s">
        <v>9595</v>
      </c>
      <c r="C5669" s="233"/>
    </row>
    <row r="5670" spans="1:3" ht="18" x14ac:dyDescent="0.25">
      <c r="A5670" s="218"/>
      <c r="B5670" s="219" t="s">
        <v>9596</v>
      </c>
      <c r="C5670" s="233"/>
    </row>
    <row r="5671" spans="1:3" ht="31.5" x14ac:dyDescent="0.25">
      <c r="A5671" s="137" t="s">
        <v>10489</v>
      </c>
      <c r="B5671" s="4" t="s">
        <v>9598</v>
      </c>
      <c r="C5671" s="83">
        <v>2619</v>
      </c>
    </row>
    <row r="5672" spans="1:3" x14ac:dyDescent="0.25">
      <c r="B5672" s="133"/>
    </row>
    <row r="5673" spans="1:3" ht="36" x14ac:dyDescent="0.25">
      <c r="A5673" s="186" t="s">
        <v>9122</v>
      </c>
      <c r="B5673" s="190" t="s">
        <v>9175</v>
      </c>
      <c r="C5673" s="224"/>
    </row>
    <row r="5674" spans="1:3" ht="47.25" x14ac:dyDescent="0.25">
      <c r="A5674" s="44" t="s">
        <v>10490</v>
      </c>
      <c r="B5674" s="66" t="s">
        <v>9177</v>
      </c>
      <c r="C5674" s="83">
        <v>979</v>
      </c>
    </row>
    <row r="5675" spans="1:3" ht="47.25" x14ac:dyDescent="0.25">
      <c r="A5675" s="44" t="s">
        <v>10491</v>
      </c>
      <c r="B5675" s="66" t="s">
        <v>9179</v>
      </c>
      <c r="C5675" s="83">
        <v>939</v>
      </c>
    </row>
    <row r="5676" spans="1:3" ht="47.25" x14ac:dyDescent="0.25">
      <c r="A5676" s="44" t="s">
        <v>10492</v>
      </c>
      <c r="B5676" s="66" t="s">
        <v>9181</v>
      </c>
      <c r="C5676" s="83">
        <v>1029</v>
      </c>
    </row>
    <row r="5677" spans="1:3" ht="47.25" x14ac:dyDescent="0.25">
      <c r="A5677" s="44" t="s">
        <v>10493</v>
      </c>
      <c r="B5677" s="66" t="s">
        <v>9183</v>
      </c>
      <c r="C5677" s="83">
        <v>969</v>
      </c>
    </row>
    <row r="5678" spans="1:3" ht="47.25" x14ac:dyDescent="0.25">
      <c r="A5678" s="44" t="s">
        <v>10494</v>
      </c>
      <c r="B5678" s="66" t="s">
        <v>9185</v>
      </c>
      <c r="C5678" s="83">
        <v>1009</v>
      </c>
    </row>
    <row r="5679" spans="1:3" ht="47.25" x14ac:dyDescent="0.25">
      <c r="A5679" s="44" t="s">
        <v>10495</v>
      </c>
      <c r="B5679" s="66" t="s">
        <v>9187</v>
      </c>
      <c r="C5679" s="83">
        <v>969</v>
      </c>
    </row>
    <row r="5680" spans="1:3" ht="18" x14ac:dyDescent="0.25">
      <c r="A5680" s="186" t="s">
        <v>9136</v>
      </c>
      <c r="B5680" s="187"/>
      <c r="C5680" s="224"/>
    </row>
    <row r="5681" spans="1:3" ht="47.25" x14ac:dyDescent="0.25">
      <c r="A5681" s="44" t="s">
        <v>10496</v>
      </c>
      <c r="B5681" s="66" t="s">
        <v>9188</v>
      </c>
      <c r="C5681" s="83">
        <v>1089</v>
      </c>
    </row>
    <row r="5682" spans="1:3" ht="47.25" x14ac:dyDescent="0.25">
      <c r="A5682" s="44" t="s">
        <v>10497</v>
      </c>
      <c r="B5682" s="66" t="s">
        <v>9190</v>
      </c>
      <c r="C5682" s="83">
        <v>1049</v>
      </c>
    </row>
    <row r="5683" spans="1:3" ht="63" x14ac:dyDescent="0.25">
      <c r="A5683" s="44" t="s">
        <v>10498</v>
      </c>
      <c r="B5683" s="66" t="s">
        <v>9192</v>
      </c>
      <c r="C5683" s="83">
        <v>1149</v>
      </c>
    </row>
    <row r="5684" spans="1:3" ht="63" x14ac:dyDescent="0.25">
      <c r="A5684" s="44" t="s">
        <v>10499</v>
      </c>
      <c r="B5684" s="66" t="s">
        <v>9194</v>
      </c>
      <c r="C5684" s="83">
        <v>1099</v>
      </c>
    </row>
    <row r="5685" spans="1:3" ht="63" x14ac:dyDescent="0.25">
      <c r="A5685" s="44" t="s">
        <v>10500</v>
      </c>
      <c r="B5685" s="66" t="s">
        <v>9196</v>
      </c>
      <c r="C5685" s="83">
        <v>1129</v>
      </c>
    </row>
    <row r="5686" spans="1:3" ht="63" x14ac:dyDescent="0.25">
      <c r="A5686" s="44" t="s">
        <v>10501</v>
      </c>
      <c r="B5686" s="66" t="s">
        <v>9198</v>
      </c>
      <c r="C5686" s="83">
        <v>1089</v>
      </c>
    </row>
    <row r="5687" spans="1:3" x14ac:dyDescent="0.25">
      <c r="A5687" s="194" t="s">
        <v>9199</v>
      </c>
      <c r="B5687" s="72"/>
      <c r="C5687" s="87"/>
    </row>
    <row r="5688" spans="1:3" x14ac:dyDescent="0.25">
      <c r="A5688" s="69"/>
      <c r="B5688" s="72"/>
      <c r="C5688" s="87"/>
    </row>
    <row r="5689" spans="1:3" ht="36" x14ac:dyDescent="0.25">
      <c r="A5689" s="186"/>
      <c r="B5689" s="219" t="s">
        <v>9228</v>
      </c>
      <c r="C5689" s="224"/>
    </row>
    <row r="5690" spans="1:3" ht="78.75" x14ac:dyDescent="0.25">
      <c r="A5690" s="44" t="s">
        <v>10502</v>
      </c>
      <c r="B5690" s="66" t="s">
        <v>9232</v>
      </c>
      <c r="C5690" s="83">
        <v>689</v>
      </c>
    </row>
    <row r="5691" spans="1:3" x14ac:dyDescent="0.25">
      <c r="B5691" s="133"/>
      <c r="C5691" s="87"/>
    </row>
    <row r="5692" spans="1:3" ht="18" x14ac:dyDescent="0.25">
      <c r="A5692" s="197"/>
      <c r="B5692" s="193" t="s">
        <v>9246</v>
      </c>
      <c r="C5692" s="224"/>
    </row>
    <row r="5693" spans="1:3" ht="47.25" x14ac:dyDescent="0.25">
      <c r="A5693" s="44" t="s">
        <v>10503</v>
      </c>
      <c r="B5693" s="66" t="s">
        <v>9248</v>
      </c>
      <c r="C5693" s="83">
        <v>579</v>
      </c>
    </row>
    <row r="5694" spans="1:3" ht="47.25" x14ac:dyDescent="0.25">
      <c r="A5694" s="125" t="s">
        <v>10504</v>
      </c>
      <c r="B5694" s="66" t="s">
        <v>9250</v>
      </c>
      <c r="C5694" s="83">
        <v>579</v>
      </c>
    </row>
    <row r="5695" spans="1:3" x14ac:dyDescent="0.25">
      <c r="A5695" s="65"/>
      <c r="B5695" s="198" t="s">
        <v>9251</v>
      </c>
      <c r="C5695" s="87"/>
    </row>
    <row r="5696" spans="1:3" x14ac:dyDescent="0.25">
      <c r="A5696" s="65"/>
      <c r="B5696" s="111"/>
      <c r="C5696" s="87"/>
    </row>
    <row r="5697" spans="1:3" ht="54" x14ac:dyDescent="0.25">
      <c r="A5697" s="200"/>
      <c r="B5697" s="193" t="s">
        <v>9252</v>
      </c>
      <c r="C5697" s="224"/>
    </row>
    <row r="5698" spans="1:3" ht="31.5" x14ac:dyDescent="0.25">
      <c r="A5698" s="44" t="s">
        <v>10505</v>
      </c>
      <c r="B5698" s="66" t="s">
        <v>9254</v>
      </c>
      <c r="C5698" s="83">
        <v>949</v>
      </c>
    </row>
    <row r="5699" spans="1:3" ht="31.5" x14ac:dyDescent="0.25">
      <c r="A5699" s="44" t="s">
        <v>10506</v>
      </c>
      <c r="B5699" s="66" t="s">
        <v>9256</v>
      </c>
      <c r="C5699" s="83">
        <v>949</v>
      </c>
    </row>
    <row r="5700" spans="1:3" ht="31.5" x14ac:dyDescent="0.25">
      <c r="A5700" s="44" t="s">
        <v>10507</v>
      </c>
      <c r="B5700" s="66" t="s">
        <v>9258</v>
      </c>
      <c r="C5700" s="83">
        <v>1029</v>
      </c>
    </row>
    <row r="5701" spans="1:3" x14ac:dyDescent="0.25">
      <c r="A5701" s="65"/>
      <c r="B5701" s="198" t="s">
        <v>9251</v>
      </c>
      <c r="C5701" s="87"/>
    </row>
    <row r="5702" spans="1:3" x14ac:dyDescent="0.25">
      <c r="A5702" s="65"/>
      <c r="B5702" s="111"/>
      <c r="C5702" s="87"/>
    </row>
    <row r="5703" spans="1:3" ht="54" x14ac:dyDescent="0.25">
      <c r="A5703" s="200"/>
      <c r="B5703" s="193" t="s">
        <v>9259</v>
      </c>
      <c r="C5703" s="224"/>
    </row>
    <row r="5704" spans="1:3" ht="31.5" x14ac:dyDescent="0.25">
      <c r="A5704" s="44" t="s">
        <v>10508</v>
      </c>
      <c r="B5704" s="66" t="s">
        <v>9261</v>
      </c>
      <c r="C5704" s="83">
        <v>1179</v>
      </c>
    </row>
    <row r="5705" spans="1:3" ht="31.5" x14ac:dyDescent="0.25">
      <c r="A5705" s="44" t="s">
        <v>10509</v>
      </c>
      <c r="B5705" s="66" t="s">
        <v>9263</v>
      </c>
      <c r="C5705" s="83">
        <v>1179</v>
      </c>
    </row>
    <row r="5706" spans="1:3" ht="31.5" x14ac:dyDescent="0.25">
      <c r="A5706" s="44" t="s">
        <v>10510</v>
      </c>
      <c r="B5706" s="66" t="s">
        <v>9265</v>
      </c>
      <c r="C5706" s="83">
        <v>1339</v>
      </c>
    </row>
    <row r="5707" spans="1:3" x14ac:dyDescent="0.25">
      <c r="A5707" s="65"/>
      <c r="B5707" s="198" t="s">
        <v>9251</v>
      </c>
      <c r="C5707" s="87"/>
    </row>
    <row r="5708" spans="1:3" x14ac:dyDescent="0.25">
      <c r="A5708" s="65"/>
      <c r="B5708" s="68"/>
      <c r="C5708" s="87"/>
    </row>
    <row r="5709" spans="1:3" ht="54" x14ac:dyDescent="0.25">
      <c r="A5709" s="200"/>
      <c r="B5709" s="193" t="s">
        <v>9266</v>
      </c>
      <c r="C5709" s="224"/>
    </row>
    <row r="5710" spans="1:3" ht="31.5" x14ac:dyDescent="0.25">
      <c r="A5710" s="44" t="s">
        <v>10511</v>
      </c>
      <c r="B5710" s="66" t="s">
        <v>9268</v>
      </c>
      <c r="C5710" s="83">
        <v>1459</v>
      </c>
    </row>
    <row r="5711" spans="1:3" ht="31.5" x14ac:dyDescent="0.25">
      <c r="A5711" s="44" t="s">
        <v>10512</v>
      </c>
      <c r="B5711" s="66" t="s">
        <v>9270</v>
      </c>
      <c r="C5711" s="83">
        <v>1459</v>
      </c>
    </row>
    <row r="5712" spans="1:3" ht="31.5" x14ac:dyDescent="0.25">
      <c r="A5712" s="44" t="s">
        <v>10513</v>
      </c>
      <c r="B5712" s="66" t="s">
        <v>9272</v>
      </c>
      <c r="C5712" s="83">
        <v>1689</v>
      </c>
    </row>
    <row r="5713" spans="1:3" x14ac:dyDescent="0.25">
      <c r="A5713" s="65"/>
      <c r="B5713" s="68"/>
      <c r="C5713" s="87"/>
    </row>
    <row r="5714" spans="1:3" x14ac:dyDescent="0.25">
      <c r="A5714" s="65"/>
      <c r="B5714" s="198" t="s">
        <v>9273</v>
      </c>
      <c r="C5714" s="87"/>
    </row>
    <row r="5715" spans="1:3" ht="36" x14ac:dyDescent="0.25">
      <c r="A5715" s="202"/>
      <c r="B5715" s="193" t="s">
        <v>15799</v>
      </c>
      <c r="C5715" s="224"/>
    </row>
    <row r="5716" spans="1:3" ht="31.5" x14ac:dyDescent="0.25">
      <c r="A5716" s="44" t="s">
        <v>10514</v>
      </c>
      <c r="B5716" s="66" t="s">
        <v>9275</v>
      </c>
      <c r="C5716" s="83">
        <v>609</v>
      </c>
    </row>
    <row r="5717" spans="1:3" ht="31.5" x14ac:dyDescent="0.25">
      <c r="A5717" s="44" t="s">
        <v>10515</v>
      </c>
      <c r="B5717" s="66" t="s">
        <v>9277</v>
      </c>
      <c r="C5717" s="83">
        <v>609</v>
      </c>
    </row>
    <row r="5718" spans="1:3" ht="31.5" x14ac:dyDescent="0.25">
      <c r="A5718" s="44" t="s">
        <v>10516</v>
      </c>
      <c r="B5718" s="66" t="s">
        <v>9279</v>
      </c>
      <c r="C5718" s="83">
        <v>609</v>
      </c>
    </row>
    <row r="5719" spans="1:3" ht="31.5" x14ac:dyDescent="0.25">
      <c r="A5719" s="44" t="s">
        <v>10517</v>
      </c>
      <c r="B5719" s="66" t="s">
        <v>9281</v>
      </c>
      <c r="C5719" s="83">
        <v>609</v>
      </c>
    </row>
    <row r="5720" spans="1:3" ht="31.5" x14ac:dyDescent="0.25">
      <c r="A5720" s="44" t="s">
        <v>10518</v>
      </c>
      <c r="B5720" s="66" t="s">
        <v>9283</v>
      </c>
      <c r="C5720" s="83">
        <v>609</v>
      </c>
    </row>
    <row r="5721" spans="1:3" ht="31.5" x14ac:dyDescent="0.25">
      <c r="A5721" s="44" t="s">
        <v>10519</v>
      </c>
      <c r="B5721" s="66" t="s">
        <v>9285</v>
      </c>
      <c r="C5721" s="83">
        <v>609</v>
      </c>
    </row>
    <row r="5722" spans="1:3" ht="31.5" x14ac:dyDescent="0.25">
      <c r="A5722" s="44" t="s">
        <v>10520</v>
      </c>
      <c r="B5722" s="66" t="s">
        <v>9287</v>
      </c>
      <c r="C5722" s="83">
        <v>609</v>
      </c>
    </row>
    <row r="5723" spans="1:3" x14ac:dyDescent="0.25">
      <c r="A5723" s="126"/>
      <c r="B5723" s="198" t="s">
        <v>9251</v>
      </c>
      <c r="C5723" s="87"/>
    </row>
    <row r="5724" spans="1:3" x14ac:dyDescent="0.25">
      <c r="A5724" s="126"/>
      <c r="B5724" s="198"/>
      <c r="C5724" s="87"/>
    </row>
    <row r="5725" spans="1:3" x14ac:dyDescent="0.25">
      <c r="A5725" s="126"/>
      <c r="B5725" s="198" t="s">
        <v>9273</v>
      </c>
      <c r="C5725" s="87"/>
    </row>
    <row r="5726" spans="1:3" ht="36" x14ac:dyDescent="0.25">
      <c r="A5726" s="202"/>
      <c r="B5726" s="193" t="s">
        <v>15800</v>
      </c>
      <c r="C5726" s="224"/>
    </row>
    <row r="5727" spans="1:3" ht="31.5" x14ac:dyDescent="0.25">
      <c r="A5727" s="44" t="s">
        <v>10521</v>
      </c>
      <c r="B5727" s="66" t="s">
        <v>9289</v>
      </c>
      <c r="C5727" s="83">
        <v>619</v>
      </c>
    </row>
    <row r="5728" spans="1:3" ht="31.5" x14ac:dyDescent="0.25">
      <c r="A5728" s="44" t="s">
        <v>10522</v>
      </c>
      <c r="B5728" s="66" t="s">
        <v>9291</v>
      </c>
      <c r="C5728" s="83">
        <v>619</v>
      </c>
    </row>
    <row r="5729" spans="1:3" ht="31.5" x14ac:dyDescent="0.25">
      <c r="A5729" s="44" t="s">
        <v>10523</v>
      </c>
      <c r="B5729" s="66" t="s">
        <v>9293</v>
      </c>
      <c r="C5729" s="83">
        <v>619</v>
      </c>
    </row>
    <row r="5730" spans="1:3" ht="31.5" x14ac:dyDescent="0.25">
      <c r="A5730" s="44" t="s">
        <v>10524</v>
      </c>
      <c r="B5730" s="66" t="s">
        <v>9295</v>
      </c>
      <c r="C5730" s="83">
        <v>619</v>
      </c>
    </row>
    <row r="5731" spans="1:3" ht="31.5" x14ac:dyDescent="0.25">
      <c r="A5731" s="44" t="s">
        <v>10525</v>
      </c>
      <c r="B5731" s="66" t="s">
        <v>9297</v>
      </c>
      <c r="C5731" s="83">
        <v>619</v>
      </c>
    </row>
    <row r="5732" spans="1:3" ht="31.5" x14ac:dyDescent="0.25">
      <c r="A5732" s="44" t="s">
        <v>10526</v>
      </c>
      <c r="B5732" s="66" t="s">
        <v>9299</v>
      </c>
      <c r="C5732" s="83">
        <v>619</v>
      </c>
    </row>
    <row r="5733" spans="1:3" ht="31.5" x14ac:dyDescent="0.25">
      <c r="A5733" s="44" t="s">
        <v>10527</v>
      </c>
      <c r="B5733" s="66" t="s">
        <v>9301</v>
      </c>
      <c r="C5733" s="83">
        <v>619</v>
      </c>
    </row>
    <row r="5734" spans="1:3" x14ac:dyDescent="0.25">
      <c r="A5734" s="65"/>
      <c r="B5734" s="68" t="s">
        <v>9251</v>
      </c>
      <c r="C5734" s="87"/>
    </row>
    <row r="5735" spans="1:3" x14ac:dyDescent="0.25">
      <c r="A5735" s="65"/>
      <c r="B5735" s="68"/>
      <c r="C5735" s="87"/>
    </row>
    <row r="5736" spans="1:3" x14ac:dyDescent="0.25">
      <c r="A5736" s="126"/>
      <c r="B5736" s="68" t="s">
        <v>9273</v>
      </c>
      <c r="C5736" s="87"/>
    </row>
    <row r="5737" spans="1:3" ht="36" x14ac:dyDescent="0.25">
      <c r="A5737" s="202"/>
      <c r="B5737" s="193" t="s">
        <v>15801</v>
      </c>
      <c r="C5737" s="224"/>
    </row>
    <row r="5738" spans="1:3" ht="31.5" x14ac:dyDescent="0.25">
      <c r="A5738" s="44" t="s">
        <v>10528</v>
      </c>
      <c r="B5738" s="66" t="s">
        <v>9303</v>
      </c>
      <c r="C5738" s="83">
        <v>629</v>
      </c>
    </row>
    <row r="5739" spans="1:3" ht="31.5" x14ac:dyDescent="0.25">
      <c r="A5739" s="44" t="s">
        <v>9304</v>
      </c>
      <c r="B5739" s="66" t="s">
        <v>9305</v>
      </c>
      <c r="C5739" s="83">
        <v>0</v>
      </c>
    </row>
    <row r="5740" spans="1:3" ht="31.5" x14ac:dyDescent="0.25">
      <c r="A5740" s="44" t="s">
        <v>10529</v>
      </c>
      <c r="B5740" s="66" t="s">
        <v>9307</v>
      </c>
      <c r="C5740" s="83">
        <v>629</v>
      </c>
    </row>
    <row r="5741" spans="1:3" ht="31.5" x14ac:dyDescent="0.25">
      <c r="A5741" s="44" t="s">
        <v>9304</v>
      </c>
      <c r="B5741" s="66" t="s">
        <v>9308</v>
      </c>
      <c r="C5741" s="83">
        <v>0</v>
      </c>
    </row>
    <row r="5742" spans="1:3" ht="31.5" x14ac:dyDescent="0.25">
      <c r="A5742" s="44" t="s">
        <v>10530</v>
      </c>
      <c r="B5742" s="66" t="s">
        <v>9310</v>
      </c>
      <c r="C5742" s="83">
        <v>629</v>
      </c>
    </row>
    <row r="5743" spans="1:3" ht="31.5" x14ac:dyDescent="0.25">
      <c r="A5743" s="44" t="s">
        <v>10531</v>
      </c>
      <c r="B5743" s="66" t="s">
        <v>9312</v>
      </c>
      <c r="C5743" s="83">
        <v>629</v>
      </c>
    </row>
    <row r="5744" spans="1:3" ht="31.5" x14ac:dyDescent="0.25">
      <c r="A5744" s="44" t="s">
        <v>10532</v>
      </c>
      <c r="B5744" s="66" t="s">
        <v>9314</v>
      </c>
      <c r="C5744" s="83">
        <v>629</v>
      </c>
    </row>
    <row r="5745" spans="1:3" x14ac:dyDescent="0.25">
      <c r="A5745" s="201"/>
      <c r="B5745" s="198" t="s">
        <v>9251</v>
      </c>
      <c r="C5745" s="222"/>
    </row>
    <row r="5746" spans="1:3" x14ac:dyDescent="0.25">
      <c r="A5746" s="194" t="s">
        <v>9315</v>
      </c>
      <c r="B5746" s="198"/>
      <c r="C5746" s="222"/>
    </row>
    <row r="5747" spans="1:3" x14ac:dyDescent="0.25">
      <c r="A5747" s="69"/>
      <c r="B5747" s="68"/>
      <c r="C5747" s="87"/>
    </row>
    <row r="5748" spans="1:3" ht="18" x14ac:dyDescent="0.25">
      <c r="A5748" s="200"/>
      <c r="B5748" s="193" t="s">
        <v>9347</v>
      </c>
      <c r="C5748" s="224"/>
    </row>
    <row r="5749" spans="1:3" ht="47.25" x14ac:dyDescent="0.25">
      <c r="A5749" s="44" t="s">
        <v>10533</v>
      </c>
      <c r="B5749" s="4" t="s">
        <v>10534</v>
      </c>
      <c r="C5749" s="83">
        <v>329</v>
      </c>
    </row>
    <row r="5750" spans="1:3" ht="47.25" x14ac:dyDescent="0.25">
      <c r="A5750" s="22" t="s">
        <v>10535</v>
      </c>
      <c r="B5750" s="4" t="s">
        <v>9995</v>
      </c>
      <c r="C5750" s="83">
        <v>329</v>
      </c>
    </row>
    <row r="5751" spans="1:3" ht="31.5" x14ac:dyDescent="0.25">
      <c r="A5751" s="22" t="s">
        <v>10536</v>
      </c>
      <c r="B5751" s="4" t="s">
        <v>9997</v>
      </c>
      <c r="C5751" s="83">
        <v>359</v>
      </c>
    </row>
    <row r="5752" spans="1:3" x14ac:dyDescent="0.25">
      <c r="B5752" s="133"/>
    </row>
    <row r="5753" spans="1:3" ht="18" x14ac:dyDescent="0.25">
      <c r="A5753" s="177"/>
      <c r="B5753" s="208" t="s">
        <v>9366</v>
      </c>
      <c r="C5753" s="233"/>
    </row>
    <row r="5754" spans="1:3" ht="47.25" x14ac:dyDescent="0.25">
      <c r="A5754" s="22" t="s">
        <v>10537</v>
      </c>
      <c r="B5754" s="4" t="s">
        <v>10006</v>
      </c>
      <c r="C5754" s="83">
        <v>249</v>
      </c>
    </row>
    <row r="5755" spans="1:3" ht="47.25" x14ac:dyDescent="0.25">
      <c r="A5755" s="22" t="s">
        <v>10538</v>
      </c>
      <c r="B5755" s="4" t="s">
        <v>9367</v>
      </c>
      <c r="C5755" s="83">
        <v>339</v>
      </c>
    </row>
    <row r="5756" spans="1:3" x14ac:dyDescent="0.25">
      <c r="B5756" s="133"/>
      <c r="C5756" s="87"/>
    </row>
    <row r="5757" spans="1:3" ht="18" x14ac:dyDescent="0.25">
      <c r="A5757" s="200"/>
      <c r="B5757" s="193" t="s">
        <v>9420</v>
      </c>
      <c r="C5757" s="224"/>
    </row>
    <row r="5758" spans="1:3" ht="18" x14ac:dyDescent="0.25">
      <c r="A5758" s="200"/>
      <c r="B5758" s="209" t="s">
        <v>9421</v>
      </c>
      <c r="C5758" s="224"/>
    </row>
    <row r="5759" spans="1:3" ht="18" x14ac:dyDescent="0.25">
      <c r="A5759" s="200"/>
      <c r="B5759" s="190" t="s">
        <v>10539</v>
      </c>
      <c r="C5759" s="224"/>
    </row>
    <row r="5760" spans="1:3" ht="47.25" x14ac:dyDescent="0.25">
      <c r="A5760" s="125" t="s">
        <v>10540</v>
      </c>
      <c r="B5760" s="66" t="s">
        <v>9423</v>
      </c>
      <c r="C5760" s="83">
        <v>1389</v>
      </c>
    </row>
    <row r="5761" spans="1:3" ht="47.25" x14ac:dyDescent="0.25">
      <c r="A5761" s="125" t="s">
        <v>10541</v>
      </c>
      <c r="B5761" s="66" t="s">
        <v>9425</v>
      </c>
      <c r="C5761" s="83">
        <v>2409</v>
      </c>
    </row>
    <row r="5762" spans="1:3" x14ac:dyDescent="0.25">
      <c r="A5762" s="65"/>
      <c r="B5762" s="111"/>
      <c r="C5762" s="87"/>
    </row>
    <row r="5763" spans="1:3" ht="18" x14ac:dyDescent="0.25">
      <c r="A5763" s="200"/>
      <c r="B5763" s="193" t="s">
        <v>9420</v>
      </c>
      <c r="C5763" s="224"/>
    </row>
    <row r="5764" spans="1:3" ht="18" x14ac:dyDescent="0.25">
      <c r="A5764" s="200"/>
      <c r="B5764" s="209" t="s">
        <v>9410</v>
      </c>
      <c r="C5764" s="224"/>
    </row>
    <row r="5765" spans="1:3" ht="18" x14ac:dyDescent="0.25">
      <c r="A5765" s="200"/>
      <c r="B5765" s="190" t="s">
        <v>10539</v>
      </c>
      <c r="C5765" s="224"/>
    </row>
    <row r="5766" spans="1:3" ht="94.5" x14ac:dyDescent="0.25">
      <c r="A5766" s="125" t="s">
        <v>10542</v>
      </c>
      <c r="B5766" s="66" t="s">
        <v>9427</v>
      </c>
      <c r="C5766" s="83">
        <v>1869</v>
      </c>
    </row>
    <row r="5767" spans="1:3" ht="94.5" x14ac:dyDescent="0.25">
      <c r="A5767" s="125" t="s">
        <v>10543</v>
      </c>
      <c r="B5767" s="66" t="s">
        <v>9431</v>
      </c>
      <c r="C5767" s="83">
        <v>2889</v>
      </c>
    </row>
    <row r="5768" spans="1:3" x14ac:dyDescent="0.25">
      <c r="B5768" s="133"/>
      <c r="C5768" s="87"/>
    </row>
    <row r="5769" spans="1:3" ht="36" x14ac:dyDescent="0.25">
      <c r="A5769" s="177"/>
      <c r="B5769" s="219" t="s">
        <v>10438</v>
      </c>
      <c r="C5769" s="224"/>
    </row>
    <row r="5770" spans="1:3" ht="18" x14ac:dyDescent="0.25">
      <c r="A5770" s="177"/>
      <c r="B5770" s="219" t="s">
        <v>10544</v>
      </c>
      <c r="C5770" s="224"/>
    </row>
    <row r="5771" spans="1:3" ht="31.5" x14ac:dyDescent="0.25">
      <c r="A5771" s="125" t="s">
        <v>10545</v>
      </c>
      <c r="B5771" s="4" t="s">
        <v>10546</v>
      </c>
      <c r="C5771" s="83">
        <v>1819</v>
      </c>
    </row>
    <row r="5772" spans="1:3" ht="31.5" x14ac:dyDescent="0.25">
      <c r="A5772" s="125" t="s">
        <v>10547</v>
      </c>
      <c r="B5772" s="4" t="s">
        <v>10548</v>
      </c>
      <c r="C5772" s="83">
        <v>2039</v>
      </c>
    </row>
    <row r="5773" spans="1:3" x14ac:dyDescent="0.25">
      <c r="A5773" s="125" t="s">
        <v>10549</v>
      </c>
      <c r="B5773" s="76" t="s">
        <v>10474</v>
      </c>
      <c r="C5773" s="83">
        <v>429</v>
      </c>
    </row>
    <row r="5774" spans="1:3" x14ac:dyDescent="0.25">
      <c r="B5774" s="133"/>
    </row>
    <row r="5775" spans="1:3" ht="36" x14ac:dyDescent="0.25">
      <c r="A5775" s="225" t="s">
        <v>9122</v>
      </c>
      <c r="B5775" s="228" t="s">
        <v>9849</v>
      </c>
      <c r="C5775" s="229"/>
    </row>
    <row r="5776" spans="1:3" ht="47.25" x14ac:dyDescent="0.25">
      <c r="A5776" s="127" t="s">
        <v>10550</v>
      </c>
      <c r="B5776" s="4" t="s">
        <v>9684</v>
      </c>
      <c r="C5776" s="83">
        <v>839</v>
      </c>
    </row>
    <row r="5777" spans="1:3" ht="47.25" x14ac:dyDescent="0.25">
      <c r="A5777" s="127" t="s">
        <v>10551</v>
      </c>
      <c r="B5777" s="4" t="s">
        <v>9686</v>
      </c>
      <c r="C5777" s="83">
        <v>799</v>
      </c>
    </row>
    <row r="5778" spans="1:3" ht="47.25" x14ac:dyDescent="0.25">
      <c r="A5778" s="127" t="s">
        <v>10552</v>
      </c>
      <c r="B5778" s="4" t="s">
        <v>9853</v>
      </c>
      <c r="C5778" s="83">
        <v>899</v>
      </c>
    </row>
    <row r="5779" spans="1:3" ht="47.25" x14ac:dyDescent="0.25">
      <c r="A5779" s="127" t="s">
        <v>10553</v>
      </c>
      <c r="B5779" s="4" t="s">
        <v>9690</v>
      </c>
      <c r="C5779" s="83">
        <v>819</v>
      </c>
    </row>
    <row r="5780" spans="1:3" ht="47.25" x14ac:dyDescent="0.25">
      <c r="A5780" s="127" t="s">
        <v>10554</v>
      </c>
      <c r="B5780" s="4" t="s">
        <v>9692</v>
      </c>
      <c r="C5780" s="83">
        <v>859</v>
      </c>
    </row>
    <row r="5781" spans="1:3" ht="47.25" x14ac:dyDescent="0.25">
      <c r="A5781" s="127" t="s">
        <v>10555</v>
      </c>
      <c r="B5781" s="4" t="s">
        <v>9694</v>
      </c>
      <c r="C5781" s="83">
        <v>819</v>
      </c>
    </row>
    <row r="5782" spans="1:3" ht="18" x14ac:dyDescent="0.25">
      <c r="A5782" s="225" t="s">
        <v>9136</v>
      </c>
      <c r="B5782" s="232"/>
      <c r="C5782" s="233"/>
    </row>
    <row r="5783" spans="1:3" ht="47.25" x14ac:dyDescent="0.25">
      <c r="A5783" s="127" t="s">
        <v>10556</v>
      </c>
      <c r="B5783" s="4" t="s">
        <v>9696</v>
      </c>
      <c r="C5783" s="83">
        <v>959</v>
      </c>
    </row>
    <row r="5784" spans="1:3" ht="47.25" x14ac:dyDescent="0.25">
      <c r="A5784" s="127" t="s">
        <v>10557</v>
      </c>
      <c r="B5784" s="4" t="s">
        <v>9859</v>
      </c>
      <c r="C5784" s="83">
        <v>919</v>
      </c>
    </row>
    <row r="5785" spans="1:3" ht="63" x14ac:dyDescent="0.25">
      <c r="A5785" s="127" t="s">
        <v>10558</v>
      </c>
      <c r="B5785" s="4" t="s">
        <v>9861</v>
      </c>
      <c r="C5785" s="83">
        <v>1009</v>
      </c>
    </row>
    <row r="5786" spans="1:3" ht="63" x14ac:dyDescent="0.25">
      <c r="A5786" s="127" t="s">
        <v>10559</v>
      </c>
      <c r="B5786" s="4" t="s">
        <v>9863</v>
      </c>
      <c r="C5786" s="83">
        <v>969</v>
      </c>
    </row>
    <row r="5787" spans="1:3" ht="63" x14ac:dyDescent="0.25">
      <c r="A5787" s="127" t="s">
        <v>10560</v>
      </c>
      <c r="B5787" s="4" t="s">
        <v>10245</v>
      </c>
      <c r="C5787" s="83">
        <v>999</v>
      </c>
    </row>
    <row r="5788" spans="1:3" ht="63" x14ac:dyDescent="0.25">
      <c r="A5788" s="127" t="s">
        <v>10561</v>
      </c>
      <c r="B5788" s="4" t="s">
        <v>9702</v>
      </c>
      <c r="C5788" s="83">
        <v>959</v>
      </c>
    </row>
    <row r="5789" spans="1:3" x14ac:dyDescent="0.25">
      <c r="A5789" s="65"/>
      <c r="B5789" s="111"/>
    </row>
    <row r="5790" spans="1:3" ht="36" x14ac:dyDescent="0.25">
      <c r="A5790" s="225" t="s">
        <v>9122</v>
      </c>
      <c r="B5790" s="228" t="s">
        <v>9149</v>
      </c>
      <c r="C5790" s="233"/>
    </row>
    <row r="5791" spans="1:3" ht="47.25" x14ac:dyDescent="0.25">
      <c r="A5791" s="127" t="s">
        <v>10562</v>
      </c>
      <c r="B5791" s="4" t="s">
        <v>9704</v>
      </c>
      <c r="C5791" s="83">
        <v>999</v>
      </c>
    </row>
    <row r="5792" spans="1:3" ht="47.25" x14ac:dyDescent="0.25">
      <c r="A5792" s="127" t="s">
        <v>10563</v>
      </c>
      <c r="B5792" s="4" t="s">
        <v>9706</v>
      </c>
      <c r="C5792" s="83">
        <v>959</v>
      </c>
    </row>
    <row r="5793" spans="1:3" ht="47.25" x14ac:dyDescent="0.25">
      <c r="A5793" s="127" t="s">
        <v>10564</v>
      </c>
      <c r="B5793" s="4" t="s">
        <v>9708</v>
      </c>
      <c r="C5793" s="83">
        <v>1049</v>
      </c>
    </row>
    <row r="5794" spans="1:3" ht="47.25" x14ac:dyDescent="0.25">
      <c r="A5794" s="127" t="s">
        <v>10565</v>
      </c>
      <c r="B5794" s="4" t="s">
        <v>9710</v>
      </c>
      <c r="C5794" s="83">
        <v>979</v>
      </c>
    </row>
    <row r="5795" spans="1:3" ht="47.25" x14ac:dyDescent="0.25">
      <c r="A5795" s="127" t="s">
        <v>10566</v>
      </c>
      <c r="B5795" s="4" t="s">
        <v>9712</v>
      </c>
      <c r="C5795" s="83">
        <v>1009</v>
      </c>
    </row>
    <row r="5796" spans="1:3" ht="47.25" x14ac:dyDescent="0.25">
      <c r="A5796" s="127" t="s">
        <v>10567</v>
      </c>
      <c r="B5796" s="4" t="s">
        <v>9714</v>
      </c>
      <c r="C5796" s="83">
        <v>969</v>
      </c>
    </row>
    <row r="5797" spans="1:3" ht="18" x14ac:dyDescent="0.25">
      <c r="A5797" s="225" t="s">
        <v>9136</v>
      </c>
      <c r="B5797" s="187"/>
      <c r="C5797" s="233"/>
    </row>
    <row r="5798" spans="1:3" ht="47.25" x14ac:dyDescent="0.25">
      <c r="A5798" s="127" t="s">
        <v>10568</v>
      </c>
      <c r="B5798" s="4" t="s">
        <v>9716</v>
      </c>
      <c r="C5798" s="83">
        <v>1099</v>
      </c>
    </row>
    <row r="5799" spans="1:3" ht="47.25" x14ac:dyDescent="0.25">
      <c r="A5799" s="127" t="s">
        <v>10569</v>
      </c>
      <c r="B5799" s="4" t="s">
        <v>9718</v>
      </c>
      <c r="C5799" s="83">
        <v>1059</v>
      </c>
    </row>
    <row r="5800" spans="1:3" ht="63" x14ac:dyDescent="0.25">
      <c r="A5800" s="127" t="s">
        <v>10570</v>
      </c>
      <c r="B5800" s="4" t="s">
        <v>9875</v>
      </c>
      <c r="C5800" s="83">
        <v>1149</v>
      </c>
    </row>
    <row r="5801" spans="1:3" ht="63" x14ac:dyDescent="0.25">
      <c r="A5801" s="127" t="s">
        <v>10571</v>
      </c>
      <c r="B5801" s="4" t="s">
        <v>9722</v>
      </c>
      <c r="C5801" s="83">
        <v>1109</v>
      </c>
    </row>
    <row r="5802" spans="1:3" ht="63" x14ac:dyDescent="0.25">
      <c r="A5802" s="127" t="s">
        <v>10572</v>
      </c>
      <c r="B5802" s="4" t="s">
        <v>9724</v>
      </c>
      <c r="C5802" s="83">
        <v>1139</v>
      </c>
    </row>
    <row r="5803" spans="1:3" ht="63" x14ac:dyDescent="0.25">
      <c r="A5803" s="127" t="s">
        <v>10573</v>
      </c>
      <c r="B5803" s="4" t="s">
        <v>9726</v>
      </c>
      <c r="C5803" s="83">
        <v>1099</v>
      </c>
    </row>
    <row r="5804" spans="1:3" x14ac:dyDescent="0.25">
      <c r="A5804" s="65"/>
      <c r="B5804" s="111"/>
    </row>
    <row r="5805" spans="1:3" ht="36" x14ac:dyDescent="0.25">
      <c r="A5805" s="225" t="s">
        <v>9122</v>
      </c>
      <c r="B5805" s="228" t="s">
        <v>9175</v>
      </c>
      <c r="C5805" s="233"/>
    </row>
    <row r="5806" spans="1:3" ht="47.25" x14ac:dyDescent="0.25">
      <c r="A5806" s="127" t="s">
        <v>10574</v>
      </c>
      <c r="B5806" s="4" t="s">
        <v>9728</v>
      </c>
      <c r="C5806" s="83">
        <v>999</v>
      </c>
    </row>
    <row r="5807" spans="1:3" ht="47.25" x14ac:dyDescent="0.25">
      <c r="A5807" s="127" t="s">
        <v>10575</v>
      </c>
      <c r="B5807" s="4" t="s">
        <v>9730</v>
      </c>
      <c r="C5807" s="83">
        <v>959</v>
      </c>
    </row>
    <row r="5808" spans="1:3" ht="47.25" x14ac:dyDescent="0.25">
      <c r="A5808" s="127" t="s">
        <v>10576</v>
      </c>
      <c r="B5808" s="4" t="s">
        <v>9732</v>
      </c>
      <c r="C5808" s="83">
        <v>1049</v>
      </c>
    </row>
    <row r="5809" spans="1:3" ht="47.25" x14ac:dyDescent="0.25">
      <c r="A5809" s="127" t="s">
        <v>10577</v>
      </c>
      <c r="B5809" s="4" t="s">
        <v>9734</v>
      </c>
      <c r="C5809" s="83">
        <v>979</v>
      </c>
    </row>
    <row r="5810" spans="1:3" ht="47.25" x14ac:dyDescent="0.25">
      <c r="A5810" s="127" t="s">
        <v>10578</v>
      </c>
      <c r="B5810" s="4" t="s">
        <v>9736</v>
      </c>
      <c r="C5810" s="83">
        <v>1009</v>
      </c>
    </row>
    <row r="5811" spans="1:3" ht="47.25" x14ac:dyDescent="0.25">
      <c r="A5811" s="127" t="s">
        <v>10579</v>
      </c>
      <c r="B5811" s="4" t="s">
        <v>9738</v>
      </c>
      <c r="C5811" s="83">
        <v>969</v>
      </c>
    </row>
    <row r="5812" spans="1:3" ht="18" x14ac:dyDescent="0.25">
      <c r="A5812" s="225" t="s">
        <v>9136</v>
      </c>
      <c r="B5812" s="187"/>
      <c r="C5812" s="233"/>
    </row>
    <row r="5813" spans="1:3" ht="47.25" x14ac:dyDescent="0.25">
      <c r="A5813" s="127" t="s">
        <v>10580</v>
      </c>
      <c r="B5813" s="4" t="s">
        <v>9740</v>
      </c>
      <c r="C5813" s="83">
        <v>1099</v>
      </c>
    </row>
    <row r="5814" spans="1:3" ht="47.25" x14ac:dyDescent="0.25">
      <c r="A5814" s="127" t="s">
        <v>10581</v>
      </c>
      <c r="B5814" s="4" t="s">
        <v>9742</v>
      </c>
      <c r="C5814" s="83">
        <v>1059</v>
      </c>
    </row>
    <row r="5815" spans="1:3" ht="63" x14ac:dyDescent="0.25">
      <c r="A5815" s="127" t="s">
        <v>10582</v>
      </c>
      <c r="B5815" s="4" t="s">
        <v>9744</v>
      </c>
      <c r="C5815" s="83">
        <v>1149</v>
      </c>
    </row>
    <row r="5816" spans="1:3" ht="63" x14ac:dyDescent="0.25">
      <c r="A5816" s="127" t="s">
        <v>10583</v>
      </c>
      <c r="B5816" s="4" t="s">
        <v>9746</v>
      </c>
      <c r="C5816" s="83">
        <v>1109</v>
      </c>
    </row>
    <row r="5817" spans="1:3" ht="63" x14ac:dyDescent="0.25">
      <c r="A5817" s="127" t="s">
        <v>10584</v>
      </c>
      <c r="B5817" s="4" t="s">
        <v>9748</v>
      </c>
      <c r="C5817" s="83">
        <v>1139</v>
      </c>
    </row>
    <row r="5818" spans="1:3" ht="63" x14ac:dyDescent="0.25">
      <c r="A5818" s="127" t="s">
        <v>10585</v>
      </c>
      <c r="B5818" s="4" t="s">
        <v>9750</v>
      </c>
      <c r="C5818" s="83">
        <v>1099</v>
      </c>
    </row>
    <row r="5819" spans="1:3" x14ac:dyDescent="0.25">
      <c r="A5819" s="194" t="s">
        <v>9199</v>
      </c>
      <c r="B5819" s="111"/>
    </row>
    <row r="5820" spans="1:3" x14ac:dyDescent="0.25">
      <c r="A5820" s="69"/>
      <c r="B5820" s="111"/>
    </row>
    <row r="5821" spans="1:3" ht="54" x14ac:dyDescent="0.25">
      <c r="A5821" s="200"/>
      <c r="B5821" s="219" t="s">
        <v>15803</v>
      </c>
      <c r="C5821" s="233"/>
    </row>
    <row r="5822" spans="1:3" ht="63" x14ac:dyDescent="0.25">
      <c r="A5822" s="22" t="s">
        <v>10586</v>
      </c>
      <c r="B5822" s="4" t="s">
        <v>10587</v>
      </c>
      <c r="C5822" s="83">
        <v>1279</v>
      </c>
    </row>
    <row r="5823" spans="1:3" ht="63" x14ac:dyDescent="0.25">
      <c r="A5823" s="22" t="s">
        <v>10588</v>
      </c>
      <c r="B5823" s="4" t="s">
        <v>10589</v>
      </c>
      <c r="C5823" s="83">
        <v>1279</v>
      </c>
    </row>
    <row r="5824" spans="1:3" x14ac:dyDescent="0.25">
      <c r="B5824" s="73"/>
    </row>
    <row r="5825" spans="1:3" ht="36" x14ac:dyDescent="0.25">
      <c r="A5825" s="186" t="s">
        <v>9217</v>
      </c>
      <c r="B5825" s="193" t="s">
        <v>9887</v>
      </c>
      <c r="C5825" s="224"/>
    </row>
    <row r="5826" spans="1:3" ht="110.25" x14ac:dyDescent="0.25">
      <c r="A5826" s="127" t="s">
        <v>10590</v>
      </c>
      <c r="B5826" s="66" t="s">
        <v>10591</v>
      </c>
      <c r="C5826" s="83">
        <v>599</v>
      </c>
    </row>
    <row r="5827" spans="1:3" ht="94.5" x14ac:dyDescent="0.25">
      <c r="A5827" s="127" t="s">
        <v>10592</v>
      </c>
      <c r="B5827" s="66" t="s">
        <v>10593</v>
      </c>
      <c r="C5827" s="83">
        <v>599</v>
      </c>
    </row>
    <row r="5828" spans="1:3" x14ac:dyDescent="0.25">
      <c r="A5828" s="65"/>
      <c r="B5828" s="111"/>
    </row>
    <row r="5829" spans="1:3" x14ac:dyDescent="0.25">
      <c r="A5829" s="201"/>
      <c r="B5829" s="198" t="s">
        <v>10594</v>
      </c>
    </row>
    <row r="5830" spans="1:3" x14ac:dyDescent="0.25">
      <c r="A5830" s="201"/>
      <c r="B5830" s="198" t="s">
        <v>10595</v>
      </c>
    </row>
    <row r="5831" spans="1:3" ht="18" x14ac:dyDescent="0.25">
      <c r="A5831" s="200"/>
      <c r="B5831" s="219" t="s">
        <v>9246</v>
      </c>
      <c r="C5831" s="233"/>
    </row>
    <row r="5832" spans="1:3" ht="47.25" x14ac:dyDescent="0.25">
      <c r="A5832" s="127" t="s">
        <v>10596</v>
      </c>
      <c r="B5832" s="4" t="s">
        <v>9248</v>
      </c>
      <c r="C5832" s="83">
        <v>579</v>
      </c>
    </row>
    <row r="5833" spans="1:3" ht="47.25" x14ac:dyDescent="0.25">
      <c r="A5833" s="127" t="s">
        <v>10597</v>
      </c>
      <c r="B5833" s="4" t="s">
        <v>9634</v>
      </c>
      <c r="C5833" s="83">
        <v>579</v>
      </c>
    </row>
    <row r="5834" spans="1:3" x14ac:dyDescent="0.25">
      <c r="A5834" s="65"/>
      <c r="B5834" s="212" t="s">
        <v>9251</v>
      </c>
    </row>
    <row r="5835" spans="1:3" x14ac:dyDescent="0.25">
      <c r="A5835" s="65"/>
      <c r="B5835" s="212"/>
    </row>
    <row r="5836" spans="1:3" x14ac:dyDescent="0.25">
      <c r="A5836" s="65"/>
      <c r="B5836" s="198" t="s">
        <v>10594</v>
      </c>
    </row>
    <row r="5837" spans="1:3" x14ac:dyDescent="0.25">
      <c r="A5837" s="65"/>
      <c r="B5837" s="198" t="s">
        <v>10595</v>
      </c>
    </row>
    <row r="5838" spans="1:3" ht="54" x14ac:dyDescent="0.25">
      <c r="A5838" s="200"/>
      <c r="B5838" s="219" t="s">
        <v>9252</v>
      </c>
      <c r="C5838" s="233"/>
    </row>
    <row r="5839" spans="1:3" ht="31.5" x14ac:dyDescent="0.25">
      <c r="A5839" s="127" t="s">
        <v>10598</v>
      </c>
      <c r="B5839" s="4" t="s">
        <v>9254</v>
      </c>
      <c r="C5839" s="83">
        <v>949</v>
      </c>
    </row>
    <row r="5840" spans="1:3" ht="31.5" x14ac:dyDescent="0.25">
      <c r="A5840" s="127" t="s">
        <v>10599</v>
      </c>
      <c r="B5840" s="4" t="s">
        <v>9256</v>
      </c>
      <c r="C5840" s="83">
        <v>949</v>
      </c>
    </row>
    <row r="5841" spans="1:3" ht="31.5" x14ac:dyDescent="0.25">
      <c r="A5841" s="127" t="s">
        <v>10600</v>
      </c>
      <c r="B5841" s="4" t="s">
        <v>9258</v>
      </c>
      <c r="C5841" s="83">
        <v>1029</v>
      </c>
    </row>
    <row r="5842" spans="1:3" x14ac:dyDescent="0.25">
      <c r="A5842" s="65"/>
      <c r="B5842" s="212" t="s">
        <v>9251</v>
      </c>
    </row>
    <row r="5843" spans="1:3" x14ac:dyDescent="0.25">
      <c r="A5843" s="65"/>
      <c r="B5843" s="212"/>
    </row>
    <row r="5844" spans="1:3" x14ac:dyDescent="0.25">
      <c r="A5844" s="65"/>
      <c r="B5844" s="198" t="s">
        <v>10594</v>
      </c>
    </row>
    <row r="5845" spans="1:3" x14ac:dyDescent="0.25">
      <c r="A5845" s="65"/>
      <c r="B5845" s="198" t="s">
        <v>10595</v>
      </c>
    </row>
    <row r="5846" spans="1:3" ht="54" x14ac:dyDescent="0.25">
      <c r="A5846" s="200"/>
      <c r="B5846" s="219" t="s">
        <v>9259</v>
      </c>
      <c r="C5846" s="233"/>
    </row>
    <row r="5847" spans="1:3" ht="31.5" x14ac:dyDescent="0.25">
      <c r="A5847" s="127" t="s">
        <v>10601</v>
      </c>
      <c r="B5847" s="4" t="s">
        <v>9261</v>
      </c>
      <c r="C5847" s="83">
        <v>1179</v>
      </c>
    </row>
    <row r="5848" spans="1:3" ht="31.5" x14ac:dyDescent="0.25">
      <c r="A5848" s="127" t="s">
        <v>10602</v>
      </c>
      <c r="B5848" s="4" t="s">
        <v>9263</v>
      </c>
      <c r="C5848" s="83">
        <v>1179</v>
      </c>
    </row>
    <row r="5849" spans="1:3" ht="31.5" x14ac:dyDescent="0.25">
      <c r="A5849" s="127" t="s">
        <v>10603</v>
      </c>
      <c r="B5849" s="4" t="s">
        <v>9265</v>
      </c>
      <c r="C5849" s="83">
        <v>1339</v>
      </c>
    </row>
    <row r="5850" spans="1:3" x14ac:dyDescent="0.25">
      <c r="A5850" s="65"/>
      <c r="B5850" s="212" t="s">
        <v>9251</v>
      </c>
    </row>
    <row r="5851" spans="1:3" x14ac:dyDescent="0.25">
      <c r="A5851" s="65"/>
      <c r="B5851" s="212"/>
    </row>
    <row r="5852" spans="1:3" x14ac:dyDescent="0.25">
      <c r="A5852" s="65"/>
      <c r="B5852" s="198" t="s">
        <v>10594</v>
      </c>
    </row>
    <row r="5853" spans="1:3" x14ac:dyDescent="0.25">
      <c r="A5853" s="65"/>
      <c r="B5853" s="198" t="s">
        <v>10595</v>
      </c>
    </row>
    <row r="5854" spans="1:3" ht="54" x14ac:dyDescent="0.25">
      <c r="A5854" s="200"/>
      <c r="B5854" s="193" t="s">
        <v>9266</v>
      </c>
      <c r="C5854" s="233"/>
    </row>
    <row r="5855" spans="1:3" ht="31.5" x14ac:dyDescent="0.25">
      <c r="A5855" s="44" t="s">
        <v>10604</v>
      </c>
      <c r="B5855" s="66" t="s">
        <v>9268</v>
      </c>
      <c r="C5855" s="83">
        <v>1459</v>
      </c>
    </row>
    <row r="5856" spans="1:3" ht="31.5" x14ac:dyDescent="0.25">
      <c r="A5856" s="44" t="s">
        <v>10605</v>
      </c>
      <c r="B5856" s="66" t="s">
        <v>9270</v>
      </c>
      <c r="C5856" s="83">
        <v>1459</v>
      </c>
    </row>
    <row r="5857" spans="1:3" ht="31.5" x14ac:dyDescent="0.25">
      <c r="A5857" s="44" t="s">
        <v>10606</v>
      </c>
      <c r="B5857" s="66" t="s">
        <v>9272</v>
      </c>
      <c r="C5857" s="83">
        <v>1689</v>
      </c>
    </row>
    <row r="5858" spans="1:3" x14ac:dyDescent="0.25">
      <c r="A5858" s="65"/>
      <c r="B5858" s="131"/>
    </row>
    <row r="5859" spans="1:3" x14ac:dyDescent="0.25">
      <c r="A5859" s="201"/>
      <c r="B5859" s="198" t="s">
        <v>10594</v>
      </c>
    </row>
    <row r="5860" spans="1:3" x14ac:dyDescent="0.25">
      <c r="A5860" s="201"/>
      <c r="B5860" s="198" t="s">
        <v>10595</v>
      </c>
    </row>
    <row r="5861" spans="1:3" x14ac:dyDescent="0.25">
      <c r="A5861" s="203"/>
      <c r="B5861" s="198" t="s">
        <v>9273</v>
      </c>
    </row>
    <row r="5862" spans="1:3" ht="36" x14ac:dyDescent="0.25">
      <c r="A5862" s="202"/>
      <c r="B5862" s="193" t="s">
        <v>15799</v>
      </c>
      <c r="C5862" s="233"/>
    </row>
    <row r="5863" spans="1:3" ht="31.5" x14ac:dyDescent="0.25">
      <c r="A5863" s="44" t="s">
        <v>10607</v>
      </c>
      <c r="B5863" s="66" t="s">
        <v>9275</v>
      </c>
      <c r="C5863" s="83">
        <v>609</v>
      </c>
    </row>
    <row r="5864" spans="1:3" ht="31.5" x14ac:dyDescent="0.25">
      <c r="A5864" s="44" t="s">
        <v>10608</v>
      </c>
      <c r="B5864" s="66" t="s">
        <v>9277</v>
      </c>
      <c r="C5864" s="83">
        <v>609</v>
      </c>
    </row>
    <row r="5865" spans="1:3" ht="31.5" x14ac:dyDescent="0.25">
      <c r="A5865" s="44" t="s">
        <v>10609</v>
      </c>
      <c r="B5865" s="66" t="s">
        <v>9279</v>
      </c>
      <c r="C5865" s="83">
        <v>609</v>
      </c>
    </row>
    <row r="5866" spans="1:3" ht="31.5" x14ac:dyDescent="0.25">
      <c r="A5866" s="44" t="s">
        <v>10610</v>
      </c>
      <c r="B5866" s="66" t="s">
        <v>9281</v>
      </c>
      <c r="C5866" s="83">
        <v>609</v>
      </c>
    </row>
    <row r="5867" spans="1:3" ht="31.5" x14ac:dyDescent="0.25">
      <c r="A5867" s="44" t="s">
        <v>10611</v>
      </c>
      <c r="B5867" s="66" t="s">
        <v>9283</v>
      </c>
      <c r="C5867" s="83">
        <v>609</v>
      </c>
    </row>
    <row r="5868" spans="1:3" ht="31.5" x14ac:dyDescent="0.25">
      <c r="A5868" s="44" t="s">
        <v>10612</v>
      </c>
      <c r="B5868" s="66" t="s">
        <v>9285</v>
      </c>
      <c r="C5868" s="83">
        <v>609</v>
      </c>
    </row>
    <row r="5869" spans="1:3" ht="31.5" x14ac:dyDescent="0.25">
      <c r="A5869" s="44" t="s">
        <v>10613</v>
      </c>
      <c r="B5869" s="66" t="s">
        <v>9287</v>
      </c>
      <c r="C5869" s="83">
        <v>609</v>
      </c>
    </row>
    <row r="5870" spans="1:3" x14ac:dyDescent="0.25">
      <c r="A5870" s="126"/>
      <c r="B5870" s="198" t="s">
        <v>9251</v>
      </c>
    </row>
    <row r="5871" spans="1:3" x14ac:dyDescent="0.25">
      <c r="A5871" s="126"/>
      <c r="B5871" s="198"/>
    </row>
    <row r="5872" spans="1:3" x14ac:dyDescent="0.25">
      <c r="A5872" s="126"/>
      <c r="B5872" s="198" t="s">
        <v>10594</v>
      </c>
    </row>
    <row r="5873" spans="1:3" x14ac:dyDescent="0.25">
      <c r="A5873" s="126"/>
      <c r="B5873" s="198" t="s">
        <v>10595</v>
      </c>
    </row>
    <row r="5874" spans="1:3" x14ac:dyDescent="0.25">
      <c r="A5874" s="126"/>
      <c r="B5874" s="198" t="s">
        <v>9273</v>
      </c>
    </row>
    <row r="5875" spans="1:3" ht="36" x14ac:dyDescent="0.25">
      <c r="A5875" s="202"/>
      <c r="B5875" s="193" t="s">
        <v>15800</v>
      </c>
      <c r="C5875" s="233"/>
    </row>
    <row r="5876" spans="1:3" ht="31.5" x14ac:dyDescent="0.25">
      <c r="A5876" s="44" t="s">
        <v>10614</v>
      </c>
      <c r="B5876" s="66" t="s">
        <v>9289</v>
      </c>
      <c r="C5876" s="83">
        <v>619</v>
      </c>
    </row>
    <row r="5877" spans="1:3" ht="31.5" x14ac:dyDescent="0.25">
      <c r="A5877" s="44" t="s">
        <v>10615</v>
      </c>
      <c r="B5877" s="66" t="s">
        <v>9291</v>
      </c>
      <c r="C5877" s="83">
        <v>619</v>
      </c>
    </row>
    <row r="5878" spans="1:3" ht="31.5" x14ac:dyDescent="0.25">
      <c r="A5878" s="44" t="s">
        <v>10616</v>
      </c>
      <c r="B5878" s="66" t="s">
        <v>9293</v>
      </c>
      <c r="C5878" s="83">
        <v>619</v>
      </c>
    </row>
    <row r="5879" spans="1:3" ht="31.5" x14ac:dyDescent="0.25">
      <c r="A5879" s="44" t="s">
        <v>10617</v>
      </c>
      <c r="B5879" s="66" t="s">
        <v>9295</v>
      </c>
      <c r="C5879" s="83">
        <v>619</v>
      </c>
    </row>
    <row r="5880" spans="1:3" ht="31.5" x14ac:dyDescent="0.25">
      <c r="A5880" s="44" t="s">
        <v>10618</v>
      </c>
      <c r="B5880" s="66" t="s">
        <v>9297</v>
      </c>
      <c r="C5880" s="83">
        <v>619</v>
      </c>
    </row>
    <row r="5881" spans="1:3" ht="31.5" x14ac:dyDescent="0.25">
      <c r="A5881" s="44" t="s">
        <v>10619</v>
      </c>
      <c r="B5881" s="66" t="s">
        <v>9299</v>
      </c>
      <c r="C5881" s="83">
        <v>619</v>
      </c>
    </row>
    <row r="5882" spans="1:3" ht="31.5" x14ac:dyDescent="0.25">
      <c r="A5882" s="44" t="s">
        <v>10620</v>
      </c>
      <c r="B5882" s="66" t="s">
        <v>9301</v>
      </c>
      <c r="C5882" s="83">
        <v>619</v>
      </c>
    </row>
    <row r="5883" spans="1:3" x14ac:dyDescent="0.25">
      <c r="A5883" s="126"/>
      <c r="B5883" s="198" t="s">
        <v>9251</v>
      </c>
    </row>
    <row r="5884" spans="1:3" x14ac:dyDescent="0.25">
      <c r="A5884" s="126"/>
      <c r="B5884" s="198"/>
    </row>
    <row r="5885" spans="1:3" x14ac:dyDescent="0.25">
      <c r="A5885" s="126"/>
      <c r="B5885" s="198" t="s">
        <v>10594</v>
      </c>
    </row>
    <row r="5886" spans="1:3" x14ac:dyDescent="0.25">
      <c r="A5886" s="126"/>
      <c r="B5886" s="198" t="s">
        <v>10595</v>
      </c>
    </row>
    <row r="5887" spans="1:3" x14ac:dyDescent="0.25">
      <c r="A5887" s="126"/>
      <c r="B5887" s="198" t="s">
        <v>9273</v>
      </c>
    </row>
    <row r="5888" spans="1:3" ht="36" x14ac:dyDescent="0.25">
      <c r="A5888" s="202"/>
      <c r="B5888" s="193" t="s">
        <v>15801</v>
      </c>
      <c r="C5888" s="233"/>
    </row>
    <row r="5889" spans="1:3" ht="31.5" x14ac:dyDescent="0.25">
      <c r="A5889" s="44" t="s">
        <v>10621</v>
      </c>
      <c r="B5889" s="66" t="s">
        <v>9303</v>
      </c>
      <c r="C5889" s="83">
        <v>629</v>
      </c>
    </row>
    <row r="5890" spans="1:3" ht="31.5" x14ac:dyDescent="0.25">
      <c r="A5890" s="44" t="s">
        <v>9304</v>
      </c>
      <c r="B5890" s="66" t="s">
        <v>9305</v>
      </c>
      <c r="C5890" s="83">
        <v>0</v>
      </c>
    </row>
    <row r="5891" spans="1:3" ht="31.5" x14ac:dyDescent="0.25">
      <c r="A5891" s="44" t="s">
        <v>10622</v>
      </c>
      <c r="B5891" s="66" t="s">
        <v>9307</v>
      </c>
      <c r="C5891" s="83">
        <v>629</v>
      </c>
    </row>
    <row r="5892" spans="1:3" ht="31.5" x14ac:dyDescent="0.25">
      <c r="A5892" s="44" t="s">
        <v>9304</v>
      </c>
      <c r="B5892" s="66" t="s">
        <v>9308</v>
      </c>
      <c r="C5892" s="83">
        <v>0</v>
      </c>
    </row>
    <row r="5893" spans="1:3" ht="31.5" x14ac:dyDescent="0.25">
      <c r="A5893" s="44" t="s">
        <v>10623</v>
      </c>
      <c r="B5893" s="66" t="s">
        <v>9310</v>
      </c>
      <c r="C5893" s="83">
        <v>629</v>
      </c>
    </row>
    <row r="5894" spans="1:3" ht="31.5" x14ac:dyDescent="0.25">
      <c r="A5894" s="44" t="s">
        <v>10624</v>
      </c>
      <c r="B5894" s="66" t="s">
        <v>9312</v>
      </c>
      <c r="C5894" s="83">
        <v>629</v>
      </c>
    </row>
    <row r="5895" spans="1:3" ht="31.5" x14ac:dyDescent="0.25">
      <c r="A5895" s="44" t="s">
        <v>10625</v>
      </c>
      <c r="B5895" s="66" t="s">
        <v>9314</v>
      </c>
      <c r="C5895" s="83">
        <v>629</v>
      </c>
    </row>
    <row r="5896" spans="1:3" x14ac:dyDescent="0.25">
      <c r="A5896" s="194" t="s">
        <v>9315</v>
      </c>
      <c r="B5896" s="195"/>
    </row>
    <row r="5897" spans="1:3" x14ac:dyDescent="0.25">
      <c r="A5897" s="194"/>
      <c r="B5897" s="195"/>
    </row>
    <row r="5898" spans="1:3" x14ac:dyDescent="0.25">
      <c r="A5898" s="201"/>
      <c r="B5898" s="198" t="s">
        <v>10626</v>
      </c>
    </row>
    <row r="5899" spans="1:3" x14ac:dyDescent="0.25">
      <c r="A5899" s="201"/>
      <c r="B5899" s="198" t="s">
        <v>10595</v>
      </c>
    </row>
    <row r="5900" spans="1:3" ht="18" x14ac:dyDescent="0.25">
      <c r="A5900" s="200"/>
      <c r="B5900" s="219" t="s">
        <v>9328</v>
      </c>
      <c r="C5900" s="233"/>
    </row>
    <row r="5901" spans="1:3" ht="47.25" x14ac:dyDescent="0.25">
      <c r="A5901" s="22" t="s">
        <v>10627</v>
      </c>
      <c r="B5901" s="4" t="s">
        <v>10628</v>
      </c>
      <c r="C5901" s="83">
        <v>459</v>
      </c>
    </row>
    <row r="5902" spans="1:3" x14ac:dyDescent="0.25">
      <c r="A5902" s="65"/>
      <c r="B5902" s="111"/>
    </row>
    <row r="5903" spans="1:3" x14ac:dyDescent="0.25">
      <c r="A5903" s="65"/>
      <c r="B5903" s="198" t="s">
        <v>10629</v>
      </c>
    </row>
    <row r="5904" spans="1:3" x14ac:dyDescent="0.25">
      <c r="A5904" s="65"/>
      <c r="B5904" s="198" t="s">
        <v>10630</v>
      </c>
    </row>
    <row r="5905" spans="1:3" ht="18" x14ac:dyDescent="0.25">
      <c r="A5905" s="200"/>
      <c r="B5905" s="219" t="s">
        <v>9246</v>
      </c>
      <c r="C5905" s="233"/>
    </row>
    <row r="5906" spans="1:3" ht="47.25" x14ac:dyDescent="0.25">
      <c r="A5906" s="127" t="s">
        <v>10631</v>
      </c>
      <c r="B5906" s="4" t="s">
        <v>9248</v>
      </c>
      <c r="C5906" s="83">
        <v>579</v>
      </c>
    </row>
    <row r="5907" spans="1:3" ht="47.25" x14ac:dyDescent="0.25">
      <c r="A5907" s="127" t="s">
        <v>10632</v>
      </c>
      <c r="B5907" s="4" t="s">
        <v>9634</v>
      </c>
      <c r="C5907" s="83">
        <v>579</v>
      </c>
    </row>
    <row r="5908" spans="1:3" x14ac:dyDescent="0.25">
      <c r="A5908" s="65"/>
      <c r="B5908" s="212" t="s">
        <v>9251</v>
      </c>
    </row>
    <row r="5909" spans="1:3" x14ac:dyDescent="0.25">
      <c r="A5909" s="65"/>
      <c r="B5909" s="212"/>
    </row>
    <row r="5910" spans="1:3" x14ac:dyDescent="0.25">
      <c r="A5910" s="65"/>
      <c r="B5910" s="198" t="s">
        <v>10629</v>
      </c>
    </row>
    <row r="5911" spans="1:3" x14ac:dyDescent="0.25">
      <c r="A5911" s="65"/>
      <c r="B5911" s="198" t="s">
        <v>10630</v>
      </c>
    </row>
    <row r="5912" spans="1:3" ht="54" x14ac:dyDescent="0.25">
      <c r="A5912" s="200"/>
      <c r="B5912" s="219" t="s">
        <v>9252</v>
      </c>
      <c r="C5912" s="233"/>
    </row>
    <row r="5913" spans="1:3" ht="31.5" x14ac:dyDescent="0.25">
      <c r="A5913" s="127" t="s">
        <v>10633</v>
      </c>
      <c r="B5913" s="4" t="s">
        <v>9254</v>
      </c>
      <c r="C5913" s="83">
        <v>949</v>
      </c>
    </row>
    <row r="5914" spans="1:3" ht="31.5" x14ac:dyDescent="0.25">
      <c r="A5914" s="127" t="s">
        <v>10634</v>
      </c>
      <c r="B5914" s="4" t="s">
        <v>9256</v>
      </c>
      <c r="C5914" s="83">
        <v>949</v>
      </c>
    </row>
    <row r="5915" spans="1:3" ht="31.5" x14ac:dyDescent="0.25">
      <c r="A5915" s="127" t="s">
        <v>10635</v>
      </c>
      <c r="B5915" s="4" t="s">
        <v>9258</v>
      </c>
      <c r="C5915" s="83">
        <v>1029</v>
      </c>
    </row>
    <row r="5916" spans="1:3" x14ac:dyDescent="0.25">
      <c r="A5916" s="65"/>
      <c r="B5916" s="212" t="s">
        <v>9251</v>
      </c>
    </row>
    <row r="5917" spans="1:3" x14ac:dyDescent="0.25">
      <c r="A5917" s="65"/>
      <c r="B5917" s="212"/>
    </row>
    <row r="5918" spans="1:3" x14ac:dyDescent="0.25">
      <c r="A5918" s="65"/>
      <c r="B5918" s="198" t="s">
        <v>10629</v>
      </c>
    </row>
    <row r="5919" spans="1:3" x14ac:dyDescent="0.25">
      <c r="A5919" s="65"/>
      <c r="B5919" s="198" t="s">
        <v>10630</v>
      </c>
    </row>
    <row r="5920" spans="1:3" ht="54" x14ac:dyDescent="0.25">
      <c r="A5920" s="200"/>
      <c r="B5920" s="219" t="s">
        <v>9259</v>
      </c>
      <c r="C5920" s="233"/>
    </row>
    <row r="5921" spans="1:3" ht="31.5" x14ac:dyDescent="0.25">
      <c r="A5921" s="127" t="s">
        <v>10636</v>
      </c>
      <c r="B5921" s="4" t="s">
        <v>9261</v>
      </c>
      <c r="C5921" s="83">
        <v>1179</v>
      </c>
    </row>
    <row r="5922" spans="1:3" ht="31.5" x14ac:dyDescent="0.25">
      <c r="A5922" s="127" t="s">
        <v>10637</v>
      </c>
      <c r="B5922" s="4" t="s">
        <v>9263</v>
      </c>
      <c r="C5922" s="83">
        <v>1179</v>
      </c>
    </row>
    <row r="5923" spans="1:3" ht="31.5" x14ac:dyDescent="0.25">
      <c r="A5923" s="127" t="s">
        <v>10638</v>
      </c>
      <c r="B5923" s="4" t="s">
        <v>9265</v>
      </c>
      <c r="C5923" s="83">
        <v>1339</v>
      </c>
    </row>
    <row r="5924" spans="1:3" x14ac:dyDescent="0.25">
      <c r="A5924" s="201"/>
      <c r="B5924" s="212" t="s">
        <v>9251</v>
      </c>
    </row>
    <row r="5925" spans="1:3" x14ac:dyDescent="0.25">
      <c r="A5925" s="201"/>
      <c r="B5925" s="212"/>
    </row>
    <row r="5926" spans="1:3" x14ac:dyDescent="0.25">
      <c r="A5926" s="201"/>
      <c r="B5926" s="198" t="s">
        <v>10629</v>
      </c>
    </row>
    <row r="5927" spans="1:3" x14ac:dyDescent="0.25">
      <c r="A5927" s="201"/>
      <c r="B5927" s="198" t="s">
        <v>10630</v>
      </c>
    </row>
    <row r="5928" spans="1:3" ht="54" x14ac:dyDescent="0.25">
      <c r="A5928" s="200"/>
      <c r="B5928" s="193" t="s">
        <v>9266</v>
      </c>
      <c r="C5928" s="233"/>
    </row>
    <row r="5929" spans="1:3" ht="31.5" x14ac:dyDescent="0.25">
      <c r="A5929" s="44" t="s">
        <v>10639</v>
      </c>
      <c r="B5929" s="66" t="s">
        <v>9268</v>
      </c>
      <c r="C5929" s="83">
        <v>1459</v>
      </c>
    </row>
    <row r="5930" spans="1:3" ht="31.5" x14ac:dyDescent="0.25">
      <c r="A5930" s="44" t="s">
        <v>10640</v>
      </c>
      <c r="B5930" s="66" t="s">
        <v>9270</v>
      </c>
      <c r="C5930" s="83">
        <v>1459</v>
      </c>
    </row>
    <row r="5931" spans="1:3" ht="31.5" x14ac:dyDescent="0.25">
      <c r="A5931" s="44" t="s">
        <v>10641</v>
      </c>
      <c r="B5931" s="66" t="s">
        <v>9272</v>
      </c>
      <c r="C5931" s="83">
        <v>1689</v>
      </c>
    </row>
    <row r="5932" spans="1:3" x14ac:dyDescent="0.25">
      <c r="A5932" s="65"/>
      <c r="B5932" s="131"/>
    </row>
    <row r="5933" spans="1:3" x14ac:dyDescent="0.25">
      <c r="A5933" s="65"/>
      <c r="B5933" s="198" t="s">
        <v>10629</v>
      </c>
    </row>
    <row r="5934" spans="1:3" x14ac:dyDescent="0.25">
      <c r="A5934" s="65"/>
      <c r="B5934" s="198" t="s">
        <v>10630</v>
      </c>
    </row>
    <row r="5935" spans="1:3" x14ac:dyDescent="0.25">
      <c r="A5935" s="126"/>
      <c r="B5935" s="198" t="s">
        <v>9273</v>
      </c>
    </row>
    <row r="5936" spans="1:3" ht="36" x14ac:dyDescent="0.25">
      <c r="A5936" s="202"/>
      <c r="B5936" s="193" t="s">
        <v>15799</v>
      </c>
      <c r="C5936" s="233"/>
    </row>
    <row r="5937" spans="1:3" ht="31.5" x14ac:dyDescent="0.25">
      <c r="A5937" s="44" t="s">
        <v>10642</v>
      </c>
      <c r="B5937" s="66" t="s">
        <v>9275</v>
      </c>
      <c r="C5937" s="83">
        <v>609</v>
      </c>
    </row>
    <row r="5938" spans="1:3" ht="31.5" x14ac:dyDescent="0.25">
      <c r="A5938" s="44" t="s">
        <v>10643</v>
      </c>
      <c r="B5938" s="66" t="s">
        <v>9277</v>
      </c>
      <c r="C5938" s="83">
        <v>609</v>
      </c>
    </row>
    <row r="5939" spans="1:3" ht="31.5" x14ac:dyDescent="0.25">
      <c r="A5939" s="44" t="s">
        <v>10644</v>
      </c>
      <c r="B5939" s="66" t="s">
        <v>9279</v>
      </c>
      <c r="C5939" s="83">
        <v>609</v>
      </c>
    </row>
    <row r="5940" spans="1:3" ht="31.5" x14ac:dyDescent="0.25">
      <c r="A5940" s="44" t="s">
        <v>10645</v>
      </c>
      <c r="B5940" s="66" t="s">
        <v>9281</v>
      </c>
      <c r="C5940" s="83">
        <v>609</v>
      </c>
    </row>
    <row r="5941" spans="1:3" ht="31.5" x14ac:dyDescent="0.25">
      <c r="A5941" s="44" t="s">
        <v>10646</v>
      </c>
      <c r="B5941" s="66" t="s">
        <v>9283</v>
      </c>
      <c r="C5941" s="83">
        <v>609</v>
      </c>
    </row>
    <row r="5942" spans="1:3" ht="31.5" x14ac:dyDescent="0.25">
      <c r="A5942" s="44" t="s">
        <v>10647</v>
      </c>
      <c r="B5942" s="66" t="s">
        <v>9285</v>
      </c>
      <c r="C5942" s="83">
        <v>609</v>
      </c>
    </row>
    <row r="5943" spans="1:3" ht="31.5" x14ac:dyDescent="0.25">
      <c r="A5943" s="44" t="s">
        <v>10648</v>
      </c>
      <c r="B5943" s="66" t="s">
        <v>9287</v>
      </c>
      <c r="C5943" s="83">
        <v>609</v>
      </c>
    </row>
    <row r="5944" spans="1:3" x14ac:dyDescent="0.25">
      <c r="A5944" s="126"/>
      <c r="B5944" s="198" t="s">
        <v>9251</v>
      </c>
    </row>
    <row r="5945" spans="1:3" x14ac:dyDescent="0.25">
      <c r="A5945" s="126"/>
      <c r="B5945" s="198"/>
    </row>
    <row r="5946" spans="1:3" x14ac:dyDescent="0.25">
      <c r="A5946" s="126"/>
      <c r="B5946" s="198" t="s">
        <v>10629</v>
      </c>
    </row>
    <row r="5947" spans="1:3" x14ac:dyDescent="0.25">
      <c r="A5947" s="126"/>
      <c r="B5947" s="198" t="s">
        <v>10630</v>
      </c>
    </row>
    <row r="5948" spans="1:3" x14ac:dyDescent="0.25">
      <c r="A5948" s="126"/>
      <c r="B5948" s="198" t="s">
        <v>9273</v>
      </c>
    </row>
    <row r="5949" spans="1:3" ht="36" x14ac:dyDescent="0.25">
      <c r="A5949" s="202"/>
      <c r="B5949" s="193" t="s">
        <v>15800</v>
      </c>
      <c r="C5949" s="233"/>
    </row>
    <row r="5950" spans="1:3" ht="31.5" x14ac:dyDescent="0.25">
      <c r="A5950" s="44" t="s">
        <v>10649</v>
      </c>
      <c r="B5950" s="66" t="s">
        <v>9289</v>
      </c>
      <c r="C5950" s="83">
        <v>619</v>
      </c>
    </row>
    <row r="5951" spans="1:3" ht="31.5" x14ac:dyDescent="0.25">
      <c r="A5951" s="44" t="s">
        <v>10650</v>
      </c>
      <c r="B5951" s="66" t="s">
        <v>9291</v>
      </c>
      <c r="C5951" s="83">
        <v>619</v>
      </c>
    </row>
    <row r="5952" spans="1:3" ht="31.5" x14ac:dyDescent="0.25">
      <c r="A5952" s="44" t="s">
        <v>10651</v>
      </c>
      <c r="B5952" s="66" t="s">
        <v>9293</v>
      </c>
      <c r="C5952" s="83">
        <v>619</v>
      </c>
    </row>
    <row r="5953" spans="1:3" ht="31.5" x14ac:dyDescent="0.25">
      <c r="A5953" s="44" t="s">
        <v>10652</v>
      </c>
      <c r="B5953" s="66" t="s">
        <v>9295</v>
      </c>
      <c r="C5953" s="83">
        <v>619</v>
      </c>
    </row>
    <row r="5954" spans="1:3" ht="31.5" x14ac:dyDescent="0.25">
      <c r="A5954" s="44" t="s">
        <v>10653</v>
      </c>
      <c r="B5954" s="66" t="s">
        <v>9297</v>
      </c>
      <c r="C5954" s="83">
        <v>619</v>
      </c>
    </row>
    <row r="5955" spans="1:3" ht="31.5" x14ac:dyDescent="0.25">
      <c r="A5955" s="44" t="s">
        <v>10654</v>
      </c>
      <c r="B5955" s="66" t="s">
        <v>9299</v>
      </c>
      <c r="C5955" s="83">
        <v>619</v>
      </c>
    </row>
    <row r="5956" spans="1:3" ht="31.5" x14ac:dyDescent="0.25">
      <c r="A5956" s="44" t="s">
        <v>10655</v>
      </c>
      <c r="B5956" s="66" t="s">
        <v>9301</v>
      </c>
      <c r="C5956" s="83">
        <v>619</v>
      </c>
    </row>
    <row r="5957" spans="1:3" x14ac:dyDescent="0.25">
      <c r="A5957" s="126"/>
      <c r="B5957" s="198" t="s">
        <v>9251</v>
      </c>
    </row>
    <row r="5958" spans="1:3" x14ac:dyDescent="0.25">
      <c r="A5958" s="126"/>
      <c r="B5958" s="198"/>
    </row>
    <row r="5959" spans="1:3" x14ac:dyDescent="0.25">
      <c r="A5959" s="126"/>
      <c r="B5959" s="198" t="s">
        <v>10629</v>
      </c>
    </row>
    <row r="5960" spans="1:3" x14ac:dyDescent="0.25">
      <c r="A5960" s="126"/>
      <c r="B5960" s="198" t="s">
        <v>10630</v>
      </c>
    </row>
    <row r="5961" spans="1:3" x14ac:dyDescent="0.25">
      <c r="A5961" s="126"/>
      <c r="B5961" s="198" t="s">
        <v>9273</v>
      </c>
    </row>
    <row r="5962" spans="1:3" ht="36" x14ac:dyDescent="0.25">
      <c r="A5962" s="202"/>
      <c r="B5962" s="193" t="s">
        <v>15801</v>
      </c>
      <c r="C5962" s="233"/>
    </row>
    <row r="5963" spans="1:3" ht="31.5" x14ac:dyDescent="0.25">
      <c r="A5963" s="44" t="s">
        <v>10656</v>
      </c>
      <c r="B5963" s="66" t="s">
        <v>9303</v>
      </c>
      <c r="C5963" s="83">
        <v>629</v>
      </c>
    </row>
    <row r="5964" spans="1:3" ht="31.5" x14ac:dyDescent="0.25">
      <c r="A5964" s="44" t="s">
        <v>9304</v>
      </c>
      <c r="B5964" s="66" t="s">
        <v>9305</v>
      </c>
      <c r="C5964" s="83">
        <v>0</v>
      </c>
    </row>
    <row r="5965" spans="1:3" ht="31.5" x14ac:dyDescent="0.25">
      <c r="A5965" s="44" t="s">
        <v>10657</v>
      </c>
      <c r="B5965" s="66" t="s">
        <v>9307</v>
      </c>
      <c r="C5965" s="83">
        <v>629</v>
      </c>
    </row>
    <row r="5966" spans="1:3" ht="31.5" x14ac:dyDescent="0.25">
      <c r="A5966" s="44" t="s">
        <v>9304</v>
      </c>
      <c r="B5966" s="66" t="s">
        <v>9308</v>
      </c>
      <c r="C5966" s="83">
        <v>0</v>
      </c>
    </row>
    <row r="5967" spans="1:3" ht="31.5" x14ac:dyDescent="0.25">
      <c r="A5967" s="44" t="s">
        <v>10658</v>
      </c>
      <c r="B5967" s="66" t="s">
        <v>9310</v>
      </c>
      <c r="C5967" s="83">
        <v>629</v>
      </c>
    </row>
    <row r="5968" spans="1:3" ht="31.5" x14ac:dyDescent="0.25">
      <c r="A5968" s="44" t="s">
        <v>10659</v>
      </c>
      <c r="B5968" s="66" t="s">
        <v>9312</v>
      </c>
      <c r="C5968" s="83">
        <v>629</v>
      </c>
    </row>
    <row r="5969" spans="1:3" ht="31.5" x14ac:dyDescent="0.25">
      <c r="A5969" s="44" t="s">
        <v>10660</v>
      </c>
      <c r="B5969" s="66" t="s">
        <v>9314</v>
      </c>
      <c r="C5969" s="83">
        <v>629</v>
      </c>
    </row>
    <row r="5970" spans="1:3" x14ac:dyDescent="0.25">
      <c r="A5970" s="194" t="s">
        <v>9315</v>
      </c>
      <c r="B5970" s="68"/>
    </row>
    <row r="5971" spans="1:3" x14ac:dyDescent="0.25">
      <c r="A5971" s="69"/>
      <c r="B5971" s="68"/>
    </row>
    <row r="5972" spans="1:3" x14ac:dyDescent="0.25">
      <c r="A5972" s="126"/>
      <c r="B5972" s="198" t="s">
        <v>10661</v>
      </c>
    </row>
    <row r="5973" spans="1:3" x14ac:dyDescent="0.25">
      <c r="A5973" s="126"/>
      <c r="B5973" s="198" t="s">
        <v>10630</v>
      </c>
    </row>
    <row r="5974" spans="1:3" ht="18" x14ac:dyDescent="0.25">
      <c r="A5974" s="205"/>
      <c r="B5974" s="219" t="s">
        <v>9320</v>
      </c>
      <c r="C5974" s="233"/>
    </row>
    <row r="5975" spans="1:3" ht="47.25" x14ac:dyDescent="0.25">
      <c r="A5975" s="125" t="s">
        <v>10662</v>
      </c>
      <c r="B5975" s="4" t="s">
        <v>9324</v>
      </c>
      <c r="C5975" s="83">
        <v>699</v>
      </c>
    </row>
    <row r="5976" spans="1:3" ht="47.25" x14ac:dyDescent="0.25">
      <c r="A5976" s="67" t="s">
        <v>10663</v>
      </c>
      <c r="B5976" s="4" t="s">
        <v>9326</v>
      </c>
      <c r="C5976" s="83">
        <v>699</v>
      </c>
    </row>
    <row r="5977" spans="1:3" x14ac:dyDescent="0.25">
      <c r="A5977" s="155"/>
      <c r="B5977" s="73"/>
    </row>
    <row r="5978" spans="1:3" x14ac:dyDescent="0.25">
      <c r="A5978" s="65"/>
      <c r="B5978" s="198" t="s">
        <v>10664</v>
      </c>
    </row>
    <row r="5979" spans="1:3" x14ac:dyDescent="0.25">
      <c r="A5979" s="65"/>
      <c r="B5979" s="198" t="s">
        <v>10630</v>
      </c>
    </row>
    <row r="5980" spans="1:3" ht="18" x14ac:dyDescent="0.25">
      <c r="A5980" s="200"/>
      <c r="B5980" s="219" t="s">
        <v>9328</v>
      </c>
      <c r="C5980" s="233"/>
    </row>
    <row r="5981" spans="1:3" ht="47.25" x14ac:dyDescent="0.25">
      <c r="A5981" s="22" t="s">
        <v>10665</v>
      </c>
      <c r="B5981" s="4" t="s">
        <v>10628</v>
      </c>
      <c r="C5981" s="83">
        <v>459</v>
      </c>
    </row>
    <row r="5982" spans="1:3" ht="63" x14ac:dyDescent="0.25">
      <c r="A5982" s="127" t="s">
        <v>10666</v>
      </c>
      <c r="B5982" s="4" t="s">
        <v>9336</v>
      </c>
      <c r="C5982" s="83">
        <v>929</v>
      </c>
    </row>
    <row r="5983" spans="1:3" ht="63" x14ac:dyDescent="0.25">
      <c r="A5983" s="132" t="s">
        <v>10667</v>
      </c>
      <c r="B5983" s="4" t="s">
        <v>10365</v>
      </c>
      <c r="C5983" s="83">
        <v>929</v>
      </c>
    </row>
    <row r="5984" spans="1:3" x14ac:dyDescent="0.25">
      <c r="A5984" s="65"/>
      <c r="B5984" s="68"/>
    </row>
    <row r="5985" spans="1:3" ht="18" x14ac:dyDescent="0.25">
      <c r="A5985" s="200"/>
      <c r="B5985" s="219" t="s">
        <v>9347</v>
      </c>
      <c r="C5985" s="233"/>
    </row>
    <row r="5986" spans="1:3" ht="47.25" x14ac:dyDescent="0.25">
      <c r="A5986" s="127" t="s">
        <v>10668</v>
      </c>
      <c r="B5986" s="4" t="s">
        <v>10669</v>
      </c>
      <c r="C5986" s="83">
        <v>359</v>
      </c>
    </row>
    <row r="5987" spans="1:3" ht="47.25" x14ac:dyDescent="0.25">
      <c r="A5987" s="127" t="s">
        <v>10670</v>
      </c>
      <c r="B5987" s="4" t="s">
        <v>10671</v>
      </c>
      <c r="C5987" s="83">
        <v>409</v>
      </c>
    </row>
    <row r="5988" spans="1:3" ht="47.25" x14ac:dyDescent="0.25">
      <c r="A5988" s="127" t="s">
        <v>10672</v>
      </c>
      <c r="B5988" s="4" t="s">
        <v>10673</v>
      </c>
      <c r="C5988" s="83">
        <v>329</v>
      </c>
    </row>
    <row r="5989" spans="1:3" ht="47.25" x14ac:dyDescent="0.25">
      <c r="A5989" s="127" t="s">
        <v>10674</v>
      </c>
      <c r="B5989" s="4" t="s">
        <v>10675</v>
      </c>
      <c r="C5989" s="83">
        <v>329</v>
      </c>
    </row>
    <row r="5990" spans="1:3" ht="31.5" x14ac:dyDescent="0.25">
      <c r="A5990" s="127" t="s">
        <v>10676</v>
      </c>
      <c r="B5990" s="4" t="s">
        <v>9997</v>
      </c>
      <c r="C5990" s="83">
        <v>359</v>
      </c>
    </row>
    <row r="5991" spans="1:3" ht="63" x14ac:dyDescent="0.25">
      <c r="A5991" s="127" t="s">
        <v>10677</v>
      </c>
      <c r="B5991" s="4" t="s">
        <v>9999</v>
      </c>
      <c r="C5991" s="83">
        <v>259</v>
      </c>
    </row>
    <row r="5992" spans="1:3" x14ac:dyDescent="0.25">
      <c r="A5992" s="65"/>
      <c r="B5992" s="111"/>
    </row>
    <row r="5993" spans="1:3" ht="18" x14ac:dyDescent="0.25">
      <c r="A5993" s="200"/>
      <c r="B5993" s="219" t="s">
        <v>9366</v>
      </c>
      <c r="C5993" s="233"/>
    </row>
    <row r="5994" spans="1:3" ht="47.25" x14ac:dyDescent="0.25">
      <c r="A5994" s="127" t="s">
        <v>10678</v>
      </c>
      <c r="B5994" s="4" t="s">
        <v>9832</v>
      </c>
      <c r="C5994" s="83">
        <v>249</v>
      </c>
    </row>
    <row r="5995" spans="1:3" x14ac:dyDescent="0.25">
      <c r="A5995" s="65"/>
      <c r="B5995" s="111"/>
    </row>
    <row r="5996" spans="1:3" x14ac:dyDescent="0.25">
      <c r="A5996" s="65"/>
      <c r="B5996" s="111"/>
    </row>
    <row r="5997" spans="1:3" ht="36" x14ac:dyDescent="0.25">
      <c r="A5997" s="200"/>
      <c r="B5997" s="219" t="s">
        <v>9388</v>
      </c>
      <c r="C5997" s="233"/>
    </row>
    <row r="5998" spans="1:3" ht="31.5" x14ac:dyDescent="0.25">
      <c r="A5998" s="22" t="s">
        <v>10679</v>
      </c>
      <c r="B5998" s="4" t="s">
        <v>10680</v>
      </c>
      <c r="C5998" s="83">
        <v>379</v>
      </c>
    </row>
    <row r="5999" spans="1:3" x14ac:dyDescent="0.25">
      <c r="A5999" s="71"/>
      <c r="B5999" s="139"/>
    </row>
    <row r="6000" spans="1:3" x14ac:dyDescent="0.25">
      <c r="A6000" s="211"/>
      <c r="B6000" s="212" t="s">
        <v>9581</v>
      </c>
    </row>
    <row r="6001" spans="1:3" ht="36" x14ac:dyDescent="0.25">
      <c r="A6001" s="223"/>
      <c r="B6001" s="219" t="s">
        <v>10022</v>
      </c>
      <c r="C6001" s="233"/>
    </row>
    <row r="6002" spans="1:3" ht="204.75" x14ac:dyDescent="0.25">
      <c r="A6002" s="127" t="s">
        <v>10681</v>
      </c>
      <c r="B6002" s="4" t="s">
        <v>10682</v>
      </c>
      <c r="C6002" s="83">
        <v>2669</v>
      </c>
    </row>
    <row r="6003" spans="1:3" ht="204.75" x14ac:dyDescent="0.25">
      <c r="A6003" s="127" t="s">
        <v>10683</v>
      </c>
      <c r="B6003" s="4" t="s">
        <v>10684</v>
      </c>
      <c r="C6003" s="83">
        <v>2669</v>
      </c>
    </row>
    <row r="6004" spans="1:3" x14ac:dyDescent="0.25">
      <c r="A6004" s="71"/>
      <c r="B6004" s="139"/>
    </row>
    <row r="6005" spans="1:3" x14ac:dyDescent="0.25">
      <c r="A6005" s="71"/>
      <c r="B6005" s="212" t="s">
        <v>9581</v>
      </c>
    </row>
    <row r="6006" spans="1:3" ht="36" x14ac:dyDescent="0.25">
      <c r="A6006" s="218"/>
      <c r="B6006" s="219" t="s">
        <v>15804</v>
      </c>
      <c r="C6006" s="233"/>
    </row>
    <row r="6007" spans="1:3" ht="47.25" x14ac:dyDescent="0.25">
      <c r="A6007" s="127" t="s">
        <v>10685</v>
      </c>
      <c r="B6007" s="137" t="s">
        <v>10686</v>
      </c>
      <c r="C6007" s="83">
        <v>259.99</v>
      </c>
    </row>
    <row r="6008" spans="1:3" x14ac:dyDescent="0.25">
      <c r="A6008" s="127" t="s">
        <v>10677</v>
      </c>
      <c r="B6008" s="4" t="s">
        <v>10230</v>
      </c>
      <c r="C6008" s="83">
        <v>259</v>
      </c>
    </row>
    <row r="6009" spans="1:3" x14ac:dyDescent="0.25">
      <c r="A6009" s="127" t="s">
        <v>10674</v>
      </c>
      <c r="B6009" s="4" t="s">
        <v>9588</v>
      </c>
      <c r="C6009" s="83">
        <v>329</v>
      </c>
    </row>
    <row r="6010" spans="1:3" x14ac:dyDescent="0.25">
      <c r="A6010" s="71"/>
      <c r="B6010" s="139"/>
    </row>
    <row r="6011" spans="1:3" x14ac:dyDescent="0.25">
      <c r="A6011" s="71"/>
      <c r="B6011" s="212" t="s">
        <v>9589</v>
      </c>
    </row>
    <row r="6012" spans="1:3" ht="36" x14ac:dyDescent="0.25">
      <c r="A6012" s="223"/>
      <c r="B6012" s="219" t="s">
        <v>10031</v>
      </c>
      <c r="C6012" s="233"/>
    </row>
    <row r="6013" spans="1:3" ht="267.75" x14ac:dyDescent="0.25">
      <c r="A6013" s="127" t="s">
        <v>10687</v>
      </c>
      <c r="B6013" s="4" t="s">
        <v>10688</v>
      </c>
      <c r="C6013" s="83">
        <v>3459</v>
      </c>
    </row>
    <row r="6014" spans="1:3" x14ac:dyDescent="0.25">
      <c r="B6014" s="133"/>
    </row>
    <row r="6015" spans="1:3" ht="36" x14ac:dyDescent="0.25">
      <c r="A6015" s="225" t="s">
        <v>9122</v>
      </c>
      <c r="B6015" s="228" t="s">
        <v>9849</v>
      </c>
      <c r="C6015" s="229"/>
    </row>
    <row r="6016" spans="1:3" ht="47.25" x14ac:dyDescent="0.25">
      <c r="A6016" s="127" t="s">
        <v>10689</v>
      </c>
      <c r="B6016" s="4" t="s">
        <v>9684</v>
      </c>
      <c r="C6016" s="83">
        <v>839</v>
      </c>
    </row>
    <row r="6017" spans="1:3" ht="47.25" x14ac:dyDescent="0.25">
      <c r="A6017" s="127" t="s">
        <v>10690</v>
      </c>
      <c r="B6017" s="4" t="s">
        <v>9686</v>
      </c>
      <c r="C6017" s="83">
        <v>799</v>
      </c>
    </row>
    <row r="6018" spans="1:3" ht="47.25" x14ac:dyDescent="0.25">
      <c r="A6018" s="127" t="s">
        <v>10691</v>
      </c>
      <c r="B6018" s="4" t="s">
        <v>9853</v>
      </c>
      <c r="C6018" s="83">
        <v>899</v>
      </c>
    </row>
    <row r="6019" spans="1:3" ht="47.25" x14ac:dyDescent="0.25">
      <c r="A6019" s="127" t="s">
        <v>10692</v>
      </c>
      <c r="B6019" s="4" t="s">
        <v>9690</v>
      </c>
      <c r="C6019" s="83">
        <v>819</v>
      </c>
    </row>
    <row r="6020" spans="1:3" ht="47.25" x14ac:dyDescent="0.25">
      <c r="A6020" s="127" t="s">
        <v>10693</v>
      </c>
      <c r="B6020" s="4" t="s">
        <v>9692</v>
      </c>
      <c r="C6020" s="83">
        <v>859</v>
      </c>
    </row>
    <row r="6021" spans="1:3" ht="47.25" x14ac:dyDescent="0.25">
      <c r="A6021" s="127" t="s">
        <v>10694</v>
      </c>
      <c r="B6021" s="4" t="s">
        <v>9694</v>
      </c>
      <c r="C6021" s="83">
        <v>819</v>
      </c>
    </row>
    <row r="6022" spans="1:3" ht="18" x14ac:dyDescent="0.25">
      <c r="A6022" s="225" t="s">
        <v>9136</v>
      </c>
      <c r="B6022" s="238"/>
      <c r="C6022" s="233"/>
    </row>
    <row r="6023" spans="1:3" ht="47.25" x14ac:dyDescent="0.25">
      <c r="A6023" s="127" t="s">
        <v>10695</v>
      </c>
      <c r="B6023" s="4" t="s">
        <v>9696</v>
      </c>
      <c r="C6023" s="83">
        <v>959</v>
      </c>
    </row>
    <row r="6024" spans="1:3" ht="47.25" x14ac:dyDescent="0.25">
      <c r="A6024" s="127" t="s">
        <v>10696</v>
      </c>
      <c r="B6024" s="4" t="s">
        <v>9859</v>
      </c>
      <c r="C6024" s="83">
        <v>919</v>
      </c>
    </row>
    <row r="6025" spans="1:3" ht="63" x14ac:dyDescent="0.25">
      <c r="A6025" s="127" t="s">
        <v>10697</v>
      </c>
      <c r="B6025" s="4" t="s">
        <v>9861</v>
      </c>
      <c r="C6025" s="83">
        <v>1009</v>
      </c>
    </row>
    <row r="6026" spans="1:3" ht="63" x14ac:dyDescent="0.25">
      <c r="A6026" s="127" t="s">
        <v>10698</v>
      </c>
      <c r="B6026" s="4" t="s">
        <v>9700</v>
      </c>
      <c r="C6026" s="83">
        <v>969</v>
      </c>
    </row>
    <row r="6027" spans="1:3" ht="63" x14ac:dyDescent="0.25">
      <c r="A6027" s="127" t="s">
        <v>10699</v>
      </c>
      <c r="B6027" s="4" t="s">
        <v>10245</v>
      </c>
      <c r="C6027" s="83">
        <v>999</v>
      </c>
    </row>
    <row r="6028" spans="1:3" ht="63" x14ac:dyDescent="0.25">
      <c r="A6028" s="127" t="s">
        <v>10700</v>
      </c>
      <c r="B6028" s="4" t="s">
        <v>9702</v>
      </c>
      <c r="C6028" s="83">
        <v>959</v>
      </c>
    </row>
    <row r="6029" spans="1:3" x14ac:dyDescent="0.25">
      <c r="A6029" s="71"/>
      <c r="B6029" s="139"/>
    </row>
    <row r="6030" spans="1:3" ht="36" x14ac:dyDescent="0.25">
      <c r="A6030" s="225" t="s">
        <v>9122</v>
      </c>
      <c r="B6030" s="228" t="s">
        <v>9149</v>
      </c>
      <c r="C6030" s="233"/>
    </row>
    <row r="6031" spans="1:3" ht="47.25" x14ac:dyDescent="0.25">
      <c r="A6031" s="127" t="s">
        <v>10701</v>
      </c>
      <c r="B6031" s="4" t="s">
        <v>9704</v>
      </c>
      <c r="C6031" s="83">
        <v>999</v>
      </c>
    </row>
    <row r="6032" spans="1:3" ht="47.25" x14ac:dyDescent="0.25">
      <c r="A6032" s="127" t="s">
        <v>10702</v>
      </c>
      <c r="B6032" s="4" t="s">
        <v>9706</v>
      </c>
      <c r="C6032" s="83">
        <v>959</v>
      </c>
    </row>
    <row r="6033" spans="1:3" ht="47.25" x14ac:dyDescent="0.25">
      <c r="A6033" s="127" t="s">
        <v>10703</v>
      </c>
      <c r="B6033" s="4" t="s">
        <v>9708</v>
      </c>
      <c r="C6033" s="83">
        <v>1049</v>
      </c>
    </row>
    <row r="6034" spans="1:3" ht="47.25" x14ac:dyDescent="0.25">
      <c r="A6034" s="127" t="s">
        <v>10704</v>
      </c>
      <c r="B6034" s="4" t="s">
        <v>9710</v>
      </c>
      <c r="C6034" s="83">
        <v>979</v>
      </c>
    </row>
    <row r="6035" spans="1:3" ht="47.25" x14ac:dyDescent="0.25">
      <c r="A6035" s="127" t="s">
        <v>10705</v>
      </c>
      <c r="B6035" s="4" t="s">
        <v>9712</v>
      </c>
      <c r="C6035" s="83">
        <v>1009</v>
      </c>
    </row>
    <row r="6036" spans="1:3" ht="47.25" x14ac:dyDescent="0.25">
      <c r="A6036" s="127" t="s">
        <v>10706</v>
      </c>
      <c r="B6036" s="4" t="s">
        <v>9714</v>
      </c>
      <c r="C6036" s="83">
        <v>969</v>
      </c>
    </row>
    <row r="6037" spans="1:3" ht="18" x14ac:dyDescent="0.25">
      <c r="A6037" s="225" t="s">
        <v>9136</v>
      </c>
      <c r="B6037" s="238"/>
      <c r="C6037" s="233"/>
    </row>
    <row r="6038" spans="1:3" ht="47.25" x14ac:dyDescent="0.25">
      <c r="A6038" s="127" t="s">
        <v>10707</v>
      </c>
      <c r="B6038" s="4" t="s">
        <v>9716</v>
      </c>
      <c r="C6038" s="83">
        <v>1099</v>
      </c>
    </row>
    <row r="6039" spans="1:3" ht="47.25" x14ac:dyDescent="0.25">
      <c r="A6039" s="127" t="s">
        <v>10708</v>
      </c>
      <c r="B6039" s="4" t="s">
        <v>9718</v>
      </c>
      <c r="C6039" s="83">
        <v>1059</v>
      </c>
    </row>
    <row r="6040" spans="1:3" ht="63" x14ac:dyDescent="0.25">
      <c r="A6040" s="127" t="s">
        <v>10709</v>
      </c>
      <c r="B6040" s="4" t="s">
        <v>9875</v>
      </c>
      <c r="C6040" s="83">
        <v>1149</v>
      </c>
    </row>
    <row r="6041" spans="1:3" ht="63" x14ac:dyDescent="0.25">
      <c r="A6041" s="127" t="s">
        <v>10710</v>
      </c>
      <c r="B6041" s="4" t="s">
        <v>9722</v>
      </c>
      <c r="C6041" s="83">
        <v>1109</v>
      </c>
    </row>
    <row r="6042" spans="1:3" ht="63" x14ac:dyDescent="0.25">
      <c r="A6042" s="127" t="s">
        <v>10711</v>
      </c>
      <c r="B6042" s="4" t="s">
        <v>9724</v>
      </c>
      <c r="C6042" s="83">
        <v>1139</v>
      </c>
    </row>
    <row r="6043" spans="1:3" ht="63" x14ac:dyDescent="0.25">
      <c r="A6043" s="127" t="s">
        <v>10712</v>
      </c>
      <c r="B6043" s="4" t="s">
        <v>9726</v>
      </c>
      <c r="C6043" s="83">
        <v>1099</v>
      </c>
    </row>
    <row r="6044" spans="1:3" x14ac:dyDescent="0.25">
      <c r="A6044" s="194" t="s">
        <v>9199</v>
      </c>
      <c r="B6044" s="239"/>
    </row>
    <row r="6045" spans="1:3" x14ac:dyDescent="0.25">
      <c r="A6045" s="69"/>
      <c r="B6045" s="139"/>
    </row>
    <row r="6046" spans="1:3" ht="54" x14ac:dyDescent="0.25">
      <c r="A6046" s="218"/>
      <c r="B6046" s="219" t="s">
        <v>15803</v>
      </c>
      <c r="C6046" s="233"/>
    </row>
    <row r="6047" spans="1:3" ht="78.75" x14ac:dyDescent="0.25">
      <c r="A6047" s="22" t="s">
        <v>10713</v>
      </c>
      <c r="B6047" s="4" t="s">
        <v>10714</v>
      </c>
      <c r="C6047" s="83">
        <v>1279</v>
      </c>
    </row>
    <row r="6048" spans="1:3" ht="78.75" x14ac:dyDescent="0.25">
      <c r="A6048" s="22" t="s">
        <v>10715</v>
      </c>
      <c r="B6048" s="4" t="s">
        <v>10716</v>
      </c>
      <c r="C6048" s="83">
        <v>1279</v>
      </c>
    </row>
    <row r="6049" spans="1:3" x14ac:dyDescent="0.25">
      <c r="B6049" s="73"/>
    </row>
    <row r="6050" spans="1:3" ht="36" x14ac:dyDescent="0.25">
      <c r="A6050" s="186" t="s">
        <v>9217</v>
      </c>
      <c r="B6050" s="193" t="s">
        <v>9887</v>
      </c>
      <c r="C6050" s="224"/>
    </row>
    <row r="6051" spans="1:3" ht="110.25" x14ac:dyDescent="0.25">
      <c r="A6051" s="127" t="s">
        <v>10717</v>
      </c>
      <c r="B6051" s="66" t="s">
        <v>10591</v>
      </c>
      <c r="C6051" s="83">
        <v>599</v>
      </c>
    </row>
    <row r="6052" spans="1:3" x14ac:dyDescent="0.25">
      <c r="A6052" s="71"/>
      <c r="B6052" s="139"/>
    </row>
    <row r="6053" spans="1:3" x14ac:dyDescent="0.25">
      <c r="A6053" s="71"/>
      <c r="B6053" s="198" t="s">
        <v>10718</v>
      </c>
    </row>
    <row r="6054" spans="1:3" ht="18" x14ac:dyDescent="0.25">
      <c r="A6054" s="218"/>
      <c r="B6054" s="219" t="s">
        <v>9246</v>
      </c>
      <c r="C6054" s="233"/>
    </row>
    <row r="6055" spans="1:3" ht="47.25" x14ac:dyDescent="0.25">
      <c r="A6055" s="127" t="s">
        <v>10719</v>
      </c>
      <c r="B6055" s="4" t="s">
        <v>9248</v>
      </c>
      <c r="C6055" s="83">
        <v>579</v>
      </c>
    </row>
    <row r="6056" spans="1:3" ht="47.25" x14ac:dyDescent="0.25">
      <c r="A6056" s="127" t="s">
        <v>10720</v>
      </c>
      <c r="B6056" s="4" t="s">
        <v>9634</v>
      </c>
      <c r="C6056" s="83">
        <v>579</v>
      </c>
    </row>
    <row r="6057" spans="1:3" x14ac:dyDescent="0.25">
      <c r="A6057" s="71"/>
      <c r="B6057" s="212" t="s">
        <v>9251</v>
      </c>
    </row>
    <row r="6058" spans="1:3" x14ac:dyDescent="0.25">
      <c r="A6058" s="71"/>
      <c r="B6058" s="212"/>
    </row>
    <row r="6059" spans="1:3" x14ac:dyDescent="0.25">
      <c r="A6059" s="71"/>
      <c r="B6059" s="198" t="s">
        <v>10718</v>
      </c>
    </row>
    <row r="6060" spans="1:3" ht="18" x14ac:dyDescent="0.25">
      <c r="A6060" s="218"/>
      <c r="B6060" s="208" t="s">
        <v>10721</v>
      </c>
      <c r="C6060" s="233"/>
    </row>
    <row r="6061" spans="1:3" ht="36" x14ac:dyDescent="0.25">
      <c r="A6061" s="218"/>
      <c r="B6061" s="245" t="s">
        <v>10722</v>
      </c>
      <c r="C6061" s="233"/>
    </row>
    <row r="6062" spans="1:3" ht="31.5" x14ac:dyDescent="0.25">
      <c r="A6062" s="127" t="s">
        <v>10723</v>
      </c>
      <c r="B6062" s="4" t="s">
        <v>15591</v>
      </c>
      <c r="C6062" s="83">
        <v>959</v>
      </c>
    </row>
    <row r="6063" spans="1:3" x14ac:dyDescent="0.25">
      <c r="A6063" s="71"/>
      <c r="B6063" s="139"/>
    </row>
    <row r="6064" spans="1:3" x14ac:dyDescent="0.25">
      <c r="A6064" s="71"/>
      <c r="B6064" s="198" t="s">
        <v>10718</v>
      </c>
    </row>
    <row r="6065" spans="1:3" ht="54" x14ac:dyDescent="0.25">
      <c r="A6065" s="218"/>
      <c r="B6065" s="219" t="s">
        <v>9252</v>
      </c>
      <c r="C6065" s="233"/>
    </row>
    <row r="6066" spans="1:3" ht="31.5" x14ac:dyDescent="0.25">
      <c r="A6066" s="127" t="s">
        <v>10724</v>
      </c>
      <c r="B6066" s="66" t="s">
        <v>9254</v>
      </c>
      <c r="C6066" s="83">
        <v>949</v>
      </c>
    </row>
    <row r="6067" spans="1:3" ht="31.5" x14ac:dyDescent="0.25">
      <c r="A6067" s="127" t="s">
        <v>10725</v>
      </c>
      <c r="B6067" s="66" t="s">
        <v>9256</v>
      </c>
      <c r="C6067" s="83">
        <v>949</v>
      </c>
    </row>
    <row r="6068" spans="1:3" ht="31.5" x14ac:dyDescent="0.25">
      <c r="A6068" s="127" t="s">
        <v>10726</v>
      </c>
      <c r="B6068" s="66" t="s">
        <v>9258</v>
      </c>
      <c r="C6068" s="83">
        <v>1029</v>
      </c>
    </row>
    <row r="6069" spans="1:3" x14ac:dyDescent="0.25">
      <c r="A6069" s="71"/>
      <c r="B6069" s="212" t="s">
        <v>9251</v>
      </c>
    </row>
    <row r="6070" spans="1:3" x14ac:dyDescent="0.25">
      <c r="A6070" s="71"/>
      <c r="B6070" s="212"/>
    </row>
    <row r="6071" spans="1:3" x14ac:dyDescent="0.25">
      <c r="A6071" s="71"/>
      <c r="B6071" s="198" t="s">
        <v>10718</v>
      </c>
    </row>
    <row r="6072" spans="1:3" ht="54" x14ac:dyDescent="0.25">
      <c r="A6072" s="218"/>
      <c r="B6072" s="219" t="s">
        <v>9259</v>
      </c>
      <c r="C6072" s="233"/>
    </row>
    <row r="6073" spans="1:3" ht="31.5" x14ac:dyDescent="0.25">
      <c r="A6073" s="127" t="s">
        <v>10727</v>
      </c>
      <c r="B6073" s="66" t="s">
        <v>9261</v>
      </c>
      <c r="C6073" s="83">
        <v>1179</v>
      </c>
    </row>
    <row r="6074" spans="1:3" ht="31.5" x14ac:dyDescent="0.25">
      <c r="A6074" s="127" t="s">
        <v>10728</v>
      </c>
      <c r="B6074" s="66" t="s">
        <v>9263</v>
      </c>
      <c r="C6074" s="83">
        <v>1179</v>
      </c>
    </row>
    <row r="6075" spans="1:3" ht="31.5" x14ac:dyDescent="0.25">
      <c r="A6075" s="127" t="s">
        <v>10729</v>
      </c>
      <c r="B6075" s="66" t="s">
        <v>9265</v>
      </c>
      <c r="C6075" s="83">
        <v>1339</v>
      </c>
    </row>
    <row r="6076" spans="1:3" x14ac:dyDescent="0.25">
      <c r="A6076" s="71"/>
      <c r="B6076" s="212" t="s">
        <v>9251</v>
      </c>
    </row>
    <row r="6077" spans="1:3" x14ac:dyDescent="0.25">
      <c r="A6077" s="71"/>
      <c r="B6077" s="212"/>
    </row>
    <row r="6078" spans="1:3" x14ac:dyDescent="0.25">
      <c r="A6078" s="71"/>
      <c r="B6078" s="198" t="s">
        <v>10718</v>
      </c>
    </row>
    <row r="6079" spans="1:3" ht="54" x14ac:dyDescent="0.25">
      <c r="A6079" s="200"/>
      <c r="B6079" s="193" t="s">
        <v>9266</v>
      </c>
      <c r="C6079" s="233"/>
    </row>
    <row r="6080" spans="1:3" ht="31.5" x14ac:dyDescent="0.25">
      <c r="A6080" s="44" t="s">
        <v>10730</v>
      </c>
      <c r="B6080" s="66" t="s">
        <v>9268</v>
      </c>
      <c r="C6080" s="83">
        <v>1459</v>
      </c>
    </row>
    <row r="6081" spans="1:3" ht="31.5" x14ac:dyDescent="0.25">
      <c r="A6081" s="44" t="s">
        <v>10731</v>
      </c>
      <c r="B6081" s="66" t="s">
        <v>9270</v>
      </c>
      <c r="C6081" s="83">
        <v>1459</v>
      </c>
    </row>
    <row r="6082" spans="1:3" ht="31.5" x14ac:dyDescent="0.25">
      <c r="A6082" s="44" t="s">
        <v>10732</v>
      </c>
      <c r="B6082" s="66" t="s">
        <v>9272</v>
      </c>
      <c r="C6082" s="83">
        <v>1689</v>
      </c>
    </row>
    <row r="6083" spans="1:3" x14ac:dyDescent="0.25">
      <c r="A6083" s="129"/>
      <c r="B6083" s="72"/>
    </row>
    <row r="6084" spans="1:3" x14ac:dyDescent="0.25">
      <c r="A6084" s="71"/>
      <c r="B6084" s="198" t="s">
        <v>10718</v>
      </c>
    </row>
    <row r="6085" spans="1:3" x14ac:dyDescent="0.25">
      <c r="A6085" s="126"/>
      <c r="B6085" s="198" t="s">
        <v>9273</v>
      </c>
    </row>
    <row r="6086" spans="1:3" ht="36" x14ac:dyDescent="0.25">
      <c r="A6086" s="202"/>
      <c r="B6086" s="193" t="s">
        <v>15799</v>
      </c>
      <c r="C6086" s="233"/>
    </row>
    <row r="6087" spans="1:3" ht="31.5" x14ac:dyDescent="0.25">
      <c r="A6087" s="44" t="s">
        <v>10733</v>
      </c>
      <c r="B6087" s="66" t="s">
        <v>9275</v>
      </c>
      <c r="C6087" s="83">
        <v>609</v>
      </c>
    </row>
    <row r="6088" spans="1:3" ht="31.5" x14ac:dyDescent="0.25">
      <c r="A6088" s="44" t="s">
        <v>10734</v>
      </c>
      <c r="B6088" s="66" t="s">
        <v>9277</v>
      </c>
      <c r="C6088" s="83">
        <v>609</v>
      </c>
    </row>
    <row r="6089" spans="1:3" ht="31.5" x14ac:dyDescent="0.25">
      <c r="A6089" s="44" t="s">
        <v>10735</v>
      </c>
      <c r="B6089" s="66" t="s">
        <v>9279</v>
      </c>
      <c r="C6089" s="83">
        <v>609</v>
      </c>
    </row>
    <row r="6090" spans="1:3" ht="31.5" x14ac:dyDescent="0.25">
      <c r="A6090" s="44" t="s">
        <v>10736</v>
      </c>
      <c r="B6090" s="66" t="s">
        <v>9281</v>
      </c>
      <c r="C6090" s="83">
        <v>609</v>
      </c>
    </row>
    <row r="6091" spans="1:3" ht="31.5" x14ac:dyDescent="0.25">
      <c r="A6091" s="44" t="s">
        <v>10737</v>
      </c>
      <c r="B6091" s="66" t="s">
        <v>9283</v>
      </c>
      <c r="C6091" s="83">
        <v>609</v>
      </c>
    </row>
    <row r="6092" spans="1:3" ht="31.5" x14ac:dyDescent="0.25">
      <c r="A6092" s="44" t="s">
        <v>10738</v>
      </c>
      <c r="B6092" s="66" t="s">
        <v>9285</v>
      </c>
      <c r="C6092" s="83">
        <v>609</v>
      </c>
    </row>
    <row r="6093" spans="1:3" ht="31.5" x14ac:dyDescent="0.25">
      <c r="A6093" s="44" t="s">
        <v>10739</v>
      </c>
      <c r="B6093" s="66" t="s">
        <v>9287</v>
      </c>
      <c r="C6093" s="83">
        <v>609</v>
      </c>
    </row>
    <row r="6094" spans="1:3" x14ac:dyDescent="0.25">
      <c r="A6094" s="126"/>
      <c r="B6094" s="198" t="s">
        <v>9251</v>
      </c>
    </row>
    <row r="6095" spans="1:3" x14ac:dyDescent="0.25">
      <c r="A6095" s="126"/>
      <c r="B6095" s="198"/>
    </row>
    <row r="6096" spans="1:3" x14ac:dyDescent="0.25">
      <c r="A6096" s="126"/>
      <c r="B6096" s="198" t="s">
        <v>10718</v>
      </c>
    </row>
    <row r="6097" spans="1:3" x14ac:dyDescent="0.25">
      <c r="A6097" s="126"/>
      <c r="B6097" s="198" t="s">
        <v>9273</v>
      </c>
    </row>
    <row r="6098" spans="1:3" ht="36" x14ac:dyDescent="0.25">
      <c r="A6098" s="202"/>
      <c r="B6098" s="193" t="s">
        <v>15800</v>
      </c>
      <c r="C6098" s="233"/>
    </row>
    <row r="6099" spans="1:3" ht="31.5" x14ac:dyDescent="0.25">
      <c r="A6099" s="44" t="s">
        <v>10740</v>
      </c>
      <c r="B6099" s="66" t="s">
        <v>9289</v>
      </c>
      <c r="C6099" s="83">
        <v>619</v>
      </c>
    </row>
    <row r="6100" spans="1:3" ht="31.5" x14ac:dyDescent="0.25">
      <c r="A6100" s="44" t="s">
        <v>10741</v>
      </c>
      <c r="B6100" s="66" t="s">
        <v>9291</v>
      </c>
      <c r="C6100" s="83">
        <v>619</v>
      </c>
    </row>
    <row r="6101" spans="1:3" ht="31.5" x14ac:dyDescent="0.25">
      <c r="A6101" s="44" t="s">
        <v>10742</v>
      </c>
      <c r="B6101" s="66" t="s">
        <v>9293</v>
      </c>
      <c r="C6101" s="83">
        <v>619</v>
      </c>
    </row>
    <row r="6102" spans="1:3" ht="31.5" x14ac:dyDescent="0.25">
      <c r="A6102" s="44" t="s">
        <v>10743</v>
      </c>
      <c r="B6102" s="66" t="s">
        <v>9295</v>
      </c>
      <c r="C6102" s="83">
        <v>619</v>
      </c>
    </row>
    <row r="6103" spans="1:3" ht="31.5" x14ac:dyDescent="0.25">
      <c r="A6103" s="44" t="s">
        <v>10744</v>
      </c>
      <c r="B6103" s="66" t="s">
        <v>9297</v>
      </c>
      <c r="C6103" s="83">
        <v>619</v>
      </c>
    </row>
    <row r="6104" spans="1:3" ht="31.5" x14ac:dyDescent="0.25">
      <c r="A6104" s="44" t="s">
        <v>10745</v>
      </c>
      <c r="B6104" s="66" t="s">
        <v>9299</v>
      </c>
      <c r="C6104" s="83">
        <v>619</v>
      </c>
    </row>
    <row r="6105" spans="1:3" ht="31.5" x14ac:dyDescent="0.25">
      <c r="A6105" s="44" t="s">
        <v>10746</v>
      </c>
      <c r="B6105" s="66" t="s">
        <v>9301</v>
      </c>
      <c r="C6105" s="83">
        <v>619</v>
      </c>
    </row>
    <row r="6106" spans="1:3" x14ac:dyDescent="0.25">
      <c r="A6106" s="126"/>
      <c r="B6106" s="198" t="s">
        <v>9251</v>
      </c>
    </row>
    <row r="6107" spans="1:3" x14ac:dyDescent="0.25">
      <c r="A6107" s="126"/>
      <c r="B6107" s="198"/>
    </row>
    <row r="6108" spans="1:3" x14ac:dyDescent="0.25">
      <c r="A6108" s="126"/>
      <c r="B6108" s="198" t="s">
        <v>10718</v>
      </c>
    </row>
    <row r="6109" spans="1:3" x14ac:dyDescent="0.25">
      <c r="A6109" s="126"/>
      <c r="B6109" s="198" t="s">
        <v>9273</v>
      </c>
    </row>
    <row r="6110" spans="1:3" ht="36" x14ac:dyDescent="0.25">
      <c r="A6110" s="202"/>
      <c r="B6110" s="193" t="s">
        <v>15801</v>
      </c>
      <c r="C6110" s="233"/>
    </row>
    <row r="6111" spans="1:3" ht="31.5" x14ac:dyDescent="0.25">
      <c r="A6111" s="44" t="s">
        <v>10747</v>
      </c>
      <c r="B6111" s="66" t="s">
        <v>9303</v>
      </c>
      <c r="C6111" s="83">
        <v>629</v>
      </c>
    </row>
    <row r="6112" spans="1:3" ht="31.5" x14ac:dyDescent="0.25">
      <c r="A6112" s="44" t="s">
        <v>9304</v>
      </c>
      <c r="B6112" s="66" t="s">
        <v>9305</v>
      </c>
      <c r="C6112" s="83">
        <v>0</v>
      </c>
    </row>
    <row r="6113" spans="1:3" ht="31.5" x14ac:dyDescent="0.25">
      <c r="A6113" s="44" t="s">
        <v>10748</v>
      </c>
      <c r="B6113" s="66" t="s">
        <v>9307</v>
      </c>
      <c r="C6113" s="83">
        <v>629</v>
      </c>
    </row>
    <row r="6114" spans="1:3" ht="31.5" x14ac:dyDescent="0.25">
      <c r="A6114" s="44" t="s">
        <v>9304</v>
      </c>
      <c r="B6114" s="66" t="s">
        <v>9308</v>
      </c>
      <c r="C6114" s="83">
        <v>0</v>
      </c>
    </row>
    <row r="6115" spans="1:3" ht="31.5" x14ac:dyDescent="0.25">
      <c r="A6115" s="44" t="s">
        <v>10749</v>
      </c>
      <c r="B6115" s="66" t="s">
        <v>9310</v>
      </c>
      <c r="C6115" s="83">
        <v>629</v>
      </c>
    </row>
    <row r="6116" spans="1:3" ht="31.5" x14ac:dyDescent="0.25">
      <c r="A6116" s="44" t="s">
        <v>10750</v>
      </c>
      <c r="B6116" s="66" t="s">
        <v>9312</v>
      </c>
      <c r="C6116" s="83">
        <v>629</v>
      </c>
    </row>
    <row r="6117" spans="1:3" ht="31.5" x14ac:dyDescent="0.25">
      <c r="A6117" s="44" t="s">
        <v>10751</v>
      </c>
      <c r="B6117" s="66" t="s">
        <v>9314</v>
      </c>
      <c r="C6117" s="83">
        <v>629</v>
      </c>
    </row>
    <row r="6118" spans="1:3" x14ac:dyDescent="0.25">
      <c r="A6118" s="194" t="s">
        <v>9315</v>
      </c>
      <c r="B6118" s="246"/>
    </row>
    <row r="6119" spans="1:3" x14ac:dyDescent="0.25">
      <c r="A6119" s="194"/>
      <c r="B6119" s="246"/>
    </row>
    <row r="6120" spans="1:3" x14ac:dyDescent="0.25">
      <c r="A6120" s="201"/>
      <c r="B6120" s="198" t="s">
        <v>10718</v>
      </c>
    </row>
    <row r="6121" spans="1:3" ht="18" x14ac:dyDescent="0.25">
      <c r="A6121" s="248"/>
      <c r="B6121" s="219" t="s">
        <v>9328</v>
      </c>
    </row>
    <row r="6122" spans="1:3" ht="47.25" x14ac:dyDescent="0.25">
      <c r="A6122" s="22" t="s">
        <v>10752</v>
      </c>
      <c r="B6122" s="4" t="s">
        <v>10628</v>
      </c>
      <c r="C6122" s="83">
        <v>459</v>
      </c>
    </row>
    <row r="6123" spans="1:3" x14ac:dyDescent="0.25">
      <c r="A6123" s="71"/>
      <c r="B6123" s="139"/>
    </row>
    <row r="6124" spans="1:3" x14ac:dyDescent="0.25">
      <c r="A6124" s="211"/>
      <c r="B6124" s="198" t="s">
        <v>10753</v>
      </c>
    </row>
    <row r="6125" spans="1:3" ht="18" x14ac:dyDescent="0.25">
      <c r="A6125" s="218"/>
      <c r="B6125" s="219" t="s">
        <v>9246</v>
      </c>
      <c r="C6125" s="233"/>
    </row>
    <row r="6126" spans="1:3" ht="47.25" x14ac:dyDescent="0.25">
      <c r="A6126" s="127" t="s">
        <v>10754</v>
      </c>
      <c r="B6126" s="4" t="s">
        <v>9248</v>
      </c>
      <c r="C6126" s="83">
        <v>579</v>
      </c>
    </row>
    <row r="6127" spans="1:3" ht="47.25" x14ac:dyDescent="0.25">
      <c r="A6127" s="127" t="s">
        <v>10755</v>
      </c>
      <c r="B6127" s="4" t="s">
        <v>9634</v>
      </c>
      <c r="C6127" s="83">
        <v>579</v>
      </c>
    </row>
    <row r="6128" spans="1:3" x14ac:dyDescent="0.25">
      <c r="A6128" s="71"/>
      <c r="B6128" s="212" t="s">
        <v>9251</v>
      </c>
    </row>
    <row r="6129" spans="1:3" x14ac:dyDescent="0.25">
      <c r="A6129" s="71"/>
      <c r="B6129" s="239"/>
    </row>
    <row r="6130" spans="1:3" x14ac:dyDescent="0.25">
      <c r="A6130" s="71"/>
      <c r="B6130" s="198" t="s">
        <v>10753</v>
      </c>
    </row>
    <row r="6131" spans="1:3" ht="18" x14ac:dyDescent="0.25">
      <c r="A6131" s="218"/>
      <c r="B6131" s="208" t="s">
        <v>10721</v>
      </c>
      <c r="C6131" s="233"/>
    </row>
    <row r="6132" spans="1:3" ht="36" x14ac:dyDescent="0.25">
      <c r="A6132" s="218"/>
      <c r="B6132" s="245" t="s">
        <v>10722</v>
      </c>
      <c r="C6132" s="233"/>
    </row>
    <row r="6133" spans="1:3" ht="31.5" x14ac:dyDescent="0.25">
      <c r="A6133" s="127" t="s">
        <v>10756</v>
      </c>
      <c r="B6133" s="4" t="s">
        <v>15591</v>
      </c>
      <c r="C6133" s="83">
        <v>959</v>
      </c>
    </row>
    <row r="6134" spans="1:3" x14ac:dyDescent="0.25">
      <c r="A6134" s="71"/>
      <c r="B6134" s="139"/>
    </row>
    <row r="6135" spans="1:3" x14ac:dyDescent="0.25">
      <c r="A6135" s="71"/>
      <c r="B6135" s="198" t="s">
        <v>10753</v>
      </c>
    </row>
    <row r="6136" spans="1:3" ht="54" x14ac:dyDescent="0.25">
      <c r="A6136" s="218"/>
      <c r="B6136" s="219" t="s">
        <v>9252</v>
      </c>
      <c r="C6136" s="233"/>
    </row>
    <row r="6137" spans="1:3" ht="31.5" x14ac:dyDescent="0.25">
      <c r="A6137" s="127" t="s">
        <v>10757</v>
      </c>
      <c r="B6137" s="66" t="s">
        <v>9254</v>
      </c>
      <c r="C6137" s="83">
        <v>949</v>
      </c>
    </row>
    <row r="6138" spans="1:3" ht="31.5" x14ac:dyDescent="0.25">
      <c r="A6138" s="127" t="s">
        <v>10758</v>
      </c>
      <c r="B6138" s="66" t="s">
        <v>9256</v>
      </c>
      <c r="C6138" s="83">
        <v>949</v>
      </c>
    </row>
    <row r="6139" spans="1:3" ht="31.5" x14ac:dyDescent="0.25">
      <c r="A6139" s="127" t="s">
        <v>10759</v>
      </c>
      <c r="B6139" s="66" t="s">
        <v>9258</v>
      </c>
      <c r="C6139" s="83">
        <v>1029</v>
      </c>
    </row>
    <row r="6140" spans="1:3" x14ac:dyDescent="0.25">
      <c r="A6140" s="71"/>
      <c r="B6140" s="212" t="s">
        <v>9251</v>
      </c>
    </row>
    <row r="6141" spans="1:3" x14ac:dyDescent="0.25">
      <c r="A6141" s="71"/>
      <c r="B6141" s="139"/>
    </row>
    <row r="6142" spans="1:3" x14ac:dyDescent="0.25">
      <c r="A6142" s="71"/>
      <c r="B6142" s="198" t="s">
        <v>10753</v>
      </c>
    </row>
    <row r="6143" spans="1:3" ht="54" x14ac:dyDescent="0.25">
      <c r="A6143" s="218"/>
      <c r="B6143" s="219" t="s">
        <v>9259</v>
      </c>
      <c r="C6143" s="233"/>
    </row>
    <row r="6144" spans="1:3" ht="31.5" x14ac:dyDescent="0.25">
      <c r="A6144" s="127" t="s">
        <v>10760</v>
      </c>
      <c r="B6144" s="66" t="s">
        <v>9261</v>
      </c>
      <c r="C6144" s="83">
        <v>1179</v>
      </c>
    </row>
    <row r="6145" spans="1:3" ht="31.5" x14ac:dyDescent="0.25">
      <c r="A6145" s="127" t="s">
        <v>10761</v>
      </c>
      <c r="B6145" s="66" t="s">
        <v>9263</v>
      </c>
      <c r="C6145" s="83">
        <v>1179</v>
      </c>
    </row>
    <row r="6146" spans="1:3" ht="31.5" x14ac:dyDescent="0.25">
      <c r="A6146" s="127" t="s">
        <v>10762</v>
      </c>
      <c r="B6146" s="66" t="s">
        <v>9265</v>
      </c>
      <c r="C6146" s="83">
        <v>1339</v>
      </c>
    </row>
    <row r="6147" spans="1:3" x14ac:dyDescent="0.25">
      <c r="A6147" s="71"/>
      <c r="B6147" s="212" t="s">
        <v>9251</v>
      </c>
    </row>
    <row r="6148" spans="1:3" x14ac:dyDescent="0.25">
      <c r="A6148" s="71"/>
      <c r="B6148" s="212"/>
    </row>
    <row r="6149" spans="1:3" x14ac:dyDescent="0.25">
      <c r="A6149" s="71"/>
      <c r="B6149" s="198" t="s">
        <v>10753</v>
      </c>
    </row>
    <row r="6150" spans="1:3" ht="54" x14ac:dyDescent="0.25">
      <c r="A6150" s="200"/>
      <c r="B6150" s="193" t="s">
        <v>9266</v>
      </c>
      <c r="C6150" s="233"/>
    </row>
    <row r="6151" spans="1:3" ht="31.5" x14ac:dyDescent="0.25">
      <c r="A6151" s="44" t="s">
        <v>10763</v>
      </c>
      <c r="B6151" s="66" t="s">
        <v>9268</v>
      </c>
      <c r="C6151" s="83">
        <v>1459</v>
      </c>
    </row>
    <row r="6152" spans="1:3" ht="31.5" x14ac:dyDescent="0.25">
      <c r="A6152" s="44" t="s">
        <v>10764</v>
      </c>
      <c r="B6152" s="66" t="s">
        <v>9270</v>
      </c>
      <c r="C6152" s="83">
        <v>1459</v>
      </c>
    </row>
    <row r="6153" spans="1:3" ht="31.5" x14ac:dyDescent="0.25">
      <c r="A6153" s="44" t="s">
        <v>10765</v>
      </c>
      <c r="B6153" s="66" t="s">
        <v>9272</v>
      </c>
      <c r="C6153" s="83">
        <v>1689</v>
      </c>
    </row>
    <row r="6154" spans="1:3" x14ac:dyDescent="0.25">
      <c r="A6154" s="71"/>
      <c r="B6154" s="131"/>
    </row>
    <row r="6155" spans="1:3" x14ac:dyDescent="0.25">
      <c r="A6155" s="71"/>
      <c r="B6155" s="198" t="s">
        <v>10753</v>
      </c>
    </row>
    <row r="6156" spans="1:3" x14ac:dyDescent="0.25">
      <c r="A6156" s="126"/>
      <c r="B6156" s="198" t="s">
        <v>9273</v>
      </c>
    </row>
    <row r="6157" spans="1:3" ht="36" x14ac:dyDescent="0.25">
      <c r="A6157" s="202"/>
      <c r="B6157" s="193" t="s">
        <v>15799</v>
      </c>
      <c r="C6157" s="233"/>
    </row>
    <row r="6158" spans="1:3" ht="31.5" x14ac:dyDescent="0.25">
      <c r="A6158" s="44" t="s">
        <v>10766</v>
      </c>
      <c r="B6158" s="66" t="s">
        <v>9275</v>
      </c>
      <c r="C6158" s="83">
        <v>609</v>
      </c>
    </row>
    <row r="6159" spans="1:3" ht="31.5" x14ac:dyDescent="0.25">
      <c r="A6159" s="44" t="s">
        <v>10767</v>
      </c>
      <c r="B6159" s="66" t="s">
        <v>9277</v>
      </c>
      <c r="C6159" s="83">
        <v>609</v>
      </c>
    </row>
    <row r="6160" spans="1:3" ht="31.5" x14ac:dyDescent="0.25">
      <c r="A6160" s="44" t="s">
        <v>10768</v>
      </c>
      <c r="B6160" s="66" t="s">
        <v>9279</v>
      </c>
      <c r="C6160" s="83">
        <v>609</v>
      </c>
    </row>
    <row r="6161" spans="1:3" ht="31.5" x14ac:dyDescent="0.25">
      <c r="A6161" s="44" t="s">
        <v>10769</v>
      </c>
      <c r="B6161" s="66" t="s">
        <v>9281</v>
      </c>
      <c r="C6161" s="83">
        <v>609</v>
      </c>
    </row>
    <row r="6162" spans="1:3" ht="31.5" x14ac:dyDescent="0.25">
      <c r="A6162" s="44" t="s">
        <v>10770</v>
      </c>
      <c r="B6162" s="66" t="s">
        <v>9283</v>
      </c>
      <c r="C6162" s="83">
        <v>609</v>
      </c>
    </row>
    <row r="6163" spans="1:3" ht="31.5" x14ac:dyDescent="0.25">
      <c r="A6163" s="44" t="s">
        <v>10771</v>
      </c>
      <c r="B6163" s="66" t="s">
        <v>9285</v>
      </c>
      <c r="C6163" s="83">
        <v>609</v>
      </c>
    </row>
    <row r="6164" spans="1:3" ht="31.5" x14ac:dyDescent="0.25">
      <c r="A6164" s="44" t="s">
        <v>10772</v>
      </c>
      <c r="B6164" s="66" t="s">
        <v>9287</v>
      </c>
      <c r="C6164" s="83">
        <v>609</v>
      </c>
    </row>
    <row r="6165" spans="1:3" x14ac:dyDescent="0.25">
      <c r="A6165" s="126"/>
      <c r="B6165" s="198" t="s">
        <v>9251</v>
      </c>
    </row>
    <row r="6166" spans="1:3" x14ac:dyDescent="0.25">
      <c r="A6166" s="126"/>
      <c r="B6166" s="198"/>
    </row>
    <row r="6167" spans="1:3" x14ac:dyDescent="0.25">
      <c r="A6167" s="126"/>
      <c r="B6167" s="198" t="s">
        <v>10753</v>
      </c>
    </row>
    <row r="6168" spans="1:3" x14ac:dyDescent="0.25">
      <c r="A6168" s="126"/>
      <c r="B6168" s="198" t="s">
        <v>9273</v>
      </c>
    </row>
    <row r="6169" spans="1:3" ht="36" x14ac:dyDescent="0.25">
      <c r="A6169" s="202"/>
      <c r="B6169" s="193" t="s">
        <v>15800</v>
      </c>
      <c r="C6169" s="233"/>
    </row>
    <row r="6170" spans="1:3" ht="31.5" x14ac:dyDescent="0.25">
      <c r="A6170" s="44" t="s">
        <v>10773</v>
      </c>
      <c r="B6170" s="66" t="s">
        <v>9289</v>
      </c>
      <c r="C6170" s="83">
        <v>619</v>
      </c>
    </row>
    <row r="6171" spans="1:3" ht="31.5" x14ac:dyDescent="0.25">
      <c r="A6171" s="44" t="s">
        <v>10774</v>
      </c>
      <c r="B6171" s="66" t="s">
        <v>9291</v>
      </c>
      <c r="C6171" s="83">
        <v>619</v>
      </c>
    </row>
    <row r="6172" spans="1:3" ht="31.5" x14ac:dyDescent="0.25">
      <c r="A6172" s="44" t="s">
        <v>10775</v>
      </c>
      <c r="B6172" s="66" t="s">
        <v>9293</v>
      </c>
      <c r="C6172" s="83">
        <v>619</v>
      </c>
    </row>
    <row r="6173" spans="1:3" ht="31.5" x14ac:dyDescent="0.25">
      <c r="A6173" s="44" t="s">
        <v>10776</v>
      </c>
      <c r="B6173" s="66" t="s">
        <v>9295</v>
      </c>
      <c r="C6173" s="83">
        <v>619</v>
      </c>
    </row>
    <row r="6174" spans="1:3" ht="31.5" x14ac:dyDescent="0.25">
      <c r="A6174" s="44" t="s">
        <v>10777</v>
      </c>
      <c r="B6174" s="66" t="s">
        <v>9297</v>
      </c>
      <c r="C6174" s="83">
        <v>619</v>
      </c>
    </row>
    <row r="6175" spans="1:3" ht="31.5" x14ac:dyDescent="0.25">
      <c r="A6175" s="44" t="s">
        <v>10778</v>
      </c>
      <c r="B6175" s="66" t="s">
        <v>9299</v>
      </c>
      <c r="C6175" s="83">
        <v>619</v>
      </c>
    </row>
    <row r="6176" spans="1:3" ht="31.5" x14ac:dyDescent="0.25">
      <c r="A6176" s="44" t="s">
        <v>10779</v>
      </c>
      <c r="B6176" s="66" t="s">
        <v>9301</v>
      </c>
      <c r="C6176" s="83">
        <v>619</v>
      </c>
    </row>
    <row r="6177" spans="1:3" x14ac:dyDescent="0.25">
      <c r="A6177" s="126"/>
      <c r="B6177" s="198" t="s">
        <v>9251</v>
      </c>
    </row>
    <row r="6178" spans="1:3" x14ac:dyDescent="0.25">
      <c r="A6178" s="126"/>
      <c r="B6178" s="198"/>
    </row>
    <row r="6179" spans="1:3" x14ac:dyDescent="0.25">
      <c r="A6179" s="126"/>
      <c r="B6179" s="198" t="s">
        <v>10753</v>
      </c>
    </row>
    <row r="6180" spans="1:3" x14ac:dyDescent="0.25">
      <c r="A6180" s="126"/>
      <c r="B6180" s="198" t="s">
        <v>9273</v>
      </c>
    </row>
    <row r="6181" spans="1:3" ht="36" x14ac:dyDescent="0.25">
      <c r="A6181" s="202"/>
      <c r="B6181" s="193" t="s">
        <v>15801</v>
      </c>
      <c r="C6181" s="233"/>
    </row>
    <row r="6182" spans="1:3" ht="31.5" x14ac:dyDescent="0.25">
      <c r="A6182" s="44" t="s">
        <v>10780</v>
      </c>
      <c r="B6182" s="66" t="s">
        <v>9303</v>
      </c>
      <c r="C6182" s="83">
        <v>629</v>
      </c>
    </row>
    <row r="6183" spans="1:3" ht="31.5" x14ac:dyDescent="0.25">
      <c r="A6183" s="44" t="s">
        <v>9304</v>
      </c>
      <c r="B6183" s="66" t="s">
        <v>9305</v>
      </c>
      <c r="C6183" s="83">
        <v>0</v>
      </c>
    </row>
    <row r="6184" spans="1:3" ht="31.5" x14ac:dyDescent="0.25">
      <c r="A6184" s="44" t="s">
        <v>10781</v>
      </c>
      <c r="B6184" s="66" t="s">
        <v>9307</v>
      </c>
      <c r="C6184" s="83">
        <v>629</v>
      </c>
    </row>
    <row r="6185" spans="1:3" ht="31.5" x14ac:dyDescent="0.25">
      <c r="A6185" s="44" t="s">
        <v>9304</v>
      </c>
      <c r="B6185" s="66" t="s">
        <v>9308</v>
      </c>
      <c r="C6185" s="83">
        <v>0</v>
      </c>
    </row>
    <row r="6186" spans="1:3" ht="31.5" x14ac:dyDescent="0.25">
      <c r="A6186" s="44" t="s">
        <v>10782</v>
      </c>
      <c r="B6186" s="66" t="s">
        <v>9310</v>
      </c>
      <c r="C6186" s="83">
        <v>629</v>
      </c>
    </row>
    <row r="6187" spans="1:3" ht="31.5" x14ac:dyDescent="0.25">
      <c r="A6187" s="44" t="s">
        <v>10783</v>
      </c>
      <c r="B6187" s="66" t="s">
        <v>9312</v>
      </c>
      <c r="C6187" s="83">
        <v>629</v>
      </c>
    </row>
    <row r="6188" spans="1:3" ht="31.5" x14ac:dyDescent="0.25">
      <c r="A6188" s="44" t="s">
        <v>10784</v>
      </c>
      <c r="B6188" s="66" t="s">
        <v>9314</v>
      </c>
      <c r="C6188" s="83">
        <v>629</v>
      </c>
    </row>
    <row r="6189" spans="1:3" x14ac:dyDescent="0.25">
      <c r="A6189" s="194" t="s">
        <v>9315</v>
      </c>
      <c r="B6189" s="246"/>
    </row>
    <row r="6190" spans="1:3" x14ac:dyDescent="0.25">
      <c r="A6190" s="194"/>
      <c r="B6190" s="246"/>
    </row>
    <row r="6191" spans="1:3" x14ac:dyDescent="0.25">
      <c r="A6191" s="249"/>
      <c r="B6191" s="198" t="s">
        <v>10785</v>
      </c>
    </row>
    <row r="6192" spans="1:3" ht="18" x14ac:dyDescent="0.25">
      <c r="A6192" s="200"/>
      <c r="B6192" s="219" t="s">
        <v>9328</v>
      </c>
      <c r="C6192" s="233"/>
    </row>
    <row r="6193" spans="1:3" ht="47.25" x14ac:dyDescent="0.25">
      <c r="A6193" s="22" t="s">
        <v>10786</v>
      </c>
      <c r="B6193" s="4" t="s">
        <v>10628</v>
      </c>
      <c r="C6193" s="83">
        <v>459</v>
      </c>
    </row>
    <row r="6194" spans="1:3" x14ac:dyDescent="0.25">
      <c r="A6194" s="71"/>
      <c r="B6194" s="139"/>
    </row>
    <row r="6195" spans="1:3" x14ac:dyDescent="0.25">
      <c r="A6195" s="71"/>
      <c r="B6195" s="198" t="s">
        <v>10787</v>
      </c>
    </row>
    <row r="6196" spans="1:3" ht="18" x14ac:dyDescent="0.25">
      <c r="A6196" s="218"/>
      <c r="B6196" s="219" t="s">
        <v>9347</v>
      </c>
      <c r="C6196" s="233"/>
    </row>
    <row r="6197" spans="1:3" ht="63" x14ac:dyDescent="0.25">
      <c r="A6197" s="127" t="s">
        <v>10788</v>
      </c>
      <c r="B6197" s="4" t="s">
        <v>10789</v>
      </c>
      <c r="C6197" s="83">
        <v>359</v>
      </c>
    </row>
    <row r="6198" spans="1:3" ht="78.75" x14ac:dyDescent="0.25">
      <c r="A6198" s="127" t="s">
        <v>10790</v>
      </c>
      <c r="B6198" s="4" t="s">
        <v>10791</v>
      </c>
      <c r="C6198" s="83">
        <v>329</v>
      </c>
    </row>
    <row r="6199" spans="1:3" ht="78.75" x14ac:dyDescent="0.25">
      <c r="A6199" s="127" t="s">
        <v>10792</v>
      </c>
      <c r="B6199" s="4" t="s">
        <v>10793</v>
      </c>
      <c r="C6199" s="83">
        <v>329</v>
      </c>
    </row>
    <row r="6200" spans="1:3" ht="31.5" x14ac:dyDescent="0.25">
      <c r="A6200" s="127" t="s">
        <v>10794</v>
      </c>
      <c r="B6200" s="4" t="s">
        <v>9997</v>
      </c>
      <c r="C6200" s="83">
        <v>359</v>
      </c>
    </row>
    <row r="6201" spans="1:3" ht="47.25" x14ac:dyDescent="0.25">
      <c r="A6201" s="127" t="s">
        <v>10795</v>
      </c>
      <c r="B6201" s="4" t="s">
        <v>10030</v>
      </c>
      <c r="C6201" s="83">
        <v>259</v>
      </c>
    </row>
    <row r="6202" spans="1:3" x14ac:dyDescent="0.25">
      <c r="A6202" s="71"/>
      <c r="B6202" s="139"/>
    </row>
    <row r="6203" spans="1:3" ht="18" x14ac:dyDescent="0.25">
      <c r="A6203" s="250"/>
      <c r="B6203" s="219" t="s">
        <v>9366</v>
      </c>
      <c r="C6203" s="233"/>
    </row>
    <row r="6204" spans="1:3" ht="47.25" x14ac:dyDescent="0.25">
      <c r="A6204" s="127" t="s">
        <v>10796</v>
      </c>
      <c r="B6204" s="4" t="s">
        <v>9832</v>
      </c>
      <c r="C6204" s="83">
        <v>249</v>
      </c>
    </row>
    <row r="6205" spans="1:3" x14ac:dyDescent="0.25">
      <c r="A6205" s="71"/>
      <c r="B6205" s="139"/>
    </row>
    <row r="6206" spans="1:3" ht="18" x14ac:dyDescent="0.25">
      <c r="A6206" s="218"/>
      <c r="B6206" s="219" t="s">
        <v>10797</v>
      </c>
      <c r="C6206" s="233"/>
    </row>
    <row r="6207" spans="1:3" ht="18" x14ac:dyDescent="0.25">
      <c r="A6207" s="218"/>
      <c r="B6207" s="219" t="s">
        <v>10798</v>
      </c>
      <c r="C6207" s="233"/>
    </row>
    <row r="6208" spans="1:3" ht="31.5" x14ac:dyDescent="0.25">
      <c r="A6208" s="22" t="s">
        <v>10799</v>
      </c>
      <c r="B6208" s="4" t="s">
        <v>9390</v>
      </c>
      <c r="C6208" s="83">
        <v>379</v>
      </c>
    </row>
    <row r="6209" spans="1:3" x14ac:dyDescent="0.25">
      <c r="A6209" s="71"/>
      <c r="B6209" s="139"/>
    </row>
    <row r="6210" spans="1:3" ht="18" x14ac:dyDescent="0.25">
      <c r="A6210" s="218"/>
      <c r="B6210" s="228" t="s">
        <v>10009</v>
      </c>
      <c r="C6210" s="233"/>
    </row>
    <row r="6211" spans="1:3" ht="18" x14ac:dyDescent="0.25">
      <c r="A6211" s="218"/>
      <c r="B6211" s="228" t="s">
        <v>10010</v>
      </c>
      <c r="C6211" s="233"/>
    </row>
    <row r="6212" spans="1:3" ht="18" x14ac:dyDescent="0.25">
      <c r="A6212" s="218"/>
      <c r="B6212" s="207" t="s">
        <v>10800</v>
      </c>
      <c r="C6212" s="233"/>
    </row>
    <row r="6213" spans="1:3" ht="78.75" x14ac:dyDescent="0.25">
      <c r="A6213" s="22" t="s">
        <v>10801</v>
      </c>
      <c r="B6213" s="4" t="s">
        <v>9836</v>
      </c>
      <c r="C6213" s="83">
        <v>89</v>
      </c>
    </row>
    <row r="6214" spans="1:3" x14ac:dyDescent="0.25">
      <c r="B6214" s="133"/>
    </row>
    <row r="6215" spans="1:3" x14ac:dyDescent="0.25">
      <c r="A6215" s="71"/>
      <c r="B6215" s="212" t="s">
        <v>9581</v>
      </c>
    </row>
    <row r="6216" spans="1:3" ht="36" x14ac:dyDescent="0.25">
      <c r="A6216" s="223"/>
      <c r="B6216" s="219" t="s">
        <v>10022</v>
      </c>
      <c r="C6216" s="233"/>
    </row>
    <row r="6217" spans="1:3" ht="204.75" x14ac:dyDescent="0.25">
      <c r="A6217" s="127" t="s">
        <v>10802</v>
      </c>
      <c r="B6217" s="4" t="s">
        <v>10682</v>
      </c>
      <c r="C6217" s="83">
        <v>2669</v>
      </c>
    </row>
    <row r="6218" spans="1:3" ht="204.75" x14ac:dyDescent="0.25">
      <c r="A6218" s="127" t="s">
        <v>10803</v>
      </c>
      <c r="B6218" s="4" t="s">
        <v>10684</v>
      </c>
      <c r="C6218" s="83">
        <v>2669</v>
      </c>
    </row>
    <row r="6219" spans="1:3" x14ac:dyDescent="0.25">
      <c r="A6219" s="71"/>
      <c r="B6219" s="139"/>
    </row>
    <row r="6220" spans="1:3" x14ac:dyDescent="0.25">
      <c r="A6220" s="71"/>
      <c r="B6220" s="212" t="s">
        <v>9581</v>
      </c>
    </row>
    <row r="6221" spans="1:3" ht="36" x14ac:dyDescent="0.25">
      <c r="A6221" s="218"/>
      <c r="B6221" s="219" t="s">
        <v>15804</v>
      </c>
      <c r="C6221" s="233"/>
    </row>
    <row r="6222" spans="1:3" ht="47.25" x14ac:dyDescent="0.25">
      <c r="A6222" s="127" t="s">
        <v>10685</v>
      </c>
      <c r="B6222" s="137" t="s">
        <v>10804</v>
      </c>
      <c r="C6222" s="83">
        <v>259.99</v>
      </c>
    </row>
    <row r="6223" spans="1:3" x14ac:dyDescent="0.25">
      <c r="A6223" s="127" t="s">
        <v>10795</v>
      </c>
      <c r="B6223" s="4" t="s">
        <v>10230</v>
      </c>
      <c r="C6223" s="83">
        <v>259</v>
      </c>
    </row>
    <row r="6224" spans="1:3" x14ac:dyDescent="0.25">
      <c r="A6224" s="127" t="s">
        <v>10792</v>
      </c>
      <c r="B6224" s="4" t="s">
        <v>9588</v>
      </c>
      <c r="C6224" s="83">
        <v>329</v>
      </c>
    </row>
    <row r="6225" spans="1:3" x14ac:dyDescent="0.25">
      <c r="A6225" s="71"/>
      <c r="B6225" s="139"/>
    </row>
    <row r="6226" spans="1:3" x14ac:dyDescent="0.25">
      <c r="A6226" s="71"/>
      <c r="B6226" s="212" t="s">
        <v>9589</v>
      </c>
    </row>
    <row r="6227" spans="1:3" ht="36" x14ac:dyDescent="0.25">
      <c r="A6227" s="223"/>
      <c r="B6227" s="219" t="s">
        <v>10031</v>
      </c>
      <c r="C6227" s="233"/>
    </row>
    <row r="6228" spans="1:3" ht="267.75" x14ac:dyDescent="0.25">
      <c r="A6228" s="127" t="s">
        <v>10805</v>
      </c>
      <c r="B6228" s="4" t="s">
        <v>10688</v>
      </c>
      <c r="C6228" s="83">
        <v>3459</v>
      </c>
    </row>
    <row r="6229" spans="1:3" x14ac:dyDescent="0.25">
      <c r="B6229" s="133"/>
    </row>
    <row r="6230" spans="1:3" ht="36" x14ac:dyDescent="0.25">
      <c r="A6230" s="225" t="s">
        <v>9122</v>
      </c>
      <c r="B6230" s="228" t="s">
        <v>9849</v>
      </c>
      <c r="C6230" s="252"/>
    </row>
    <row r="6231" spans="1:3" ht="47.25" x14ac:dyDescent="0.25">
      <c r="A6231" s="127" t="s">
        <v>10806</v>
      </c>
      <c r="B6231" s="4" t="s">
        <v>9684</v>
      </c>
      <c r="C6231" s="83">
        <v>839</v>
      </c>
    </row>
    <row r="6232" spans="1:3" ht="47.25" x14ac:dyDescent="0.25">
      <c r="A6232" s="127" t="s">
        <v>10807</v>
      </c>
      <c r="B6232" s="4" t="s">
        <v>9686</v>
      </c>
      <c r="C6232" s="83">
        <v>799</v>
      </c>
    </row>
    <row r="6233" spans="1:3" ht="47.25" x14ac:dyDescent="0.25">
      <c r="A6233" s="127" t="s">
        <v>10808</v>
      </c>
      <c r="B6233" s="4" t="s">
        <v>9853</v>
      </c>
      <c r="C6233" s="83">
        <v>899</v>
      </c>
    </row>
    <row r="6234" spans="1:3" ht="47.25" x14ac:dyDescent="0.25">
      <c r="A6234" s="127" t="s">
        <v>10809</v>
      </c>
      <c r="B6234" s="4" t="s">
        <v>9690</v>
      </c>
      <c r="C6234" s="83">
        <v>819</v>
      </c>
    </row>
    <row r="6235" spans="1:3" ht="47.25" x14ac:dyDescent="0.25">
      <c r="A6235" s="127" t="s">
        <v>10810</v>
      </c>
      <c r="B6235" s="4" t="s">
        <v>9692</v>
      </c>
      <c r="C6235" s="83">
        <v>859</v>
      </c>
    </row>
    <row r="6236" spans="1:3" ht="47.25" x14ac:dyDescent="0.25">
      <c r="A6236" s="127" t="s">
        <v>10811</v>
      </c>
      <c r="B6236" s="4" t="s">
        <v>9694</v>
      </c>
      <c r="C6236" s="83">
        <v>819</v>
      </c>
    </row>
    <row r="6237" spans="1:3" ht="18" x14ac:dyDescent="0.25">
      <c r="A6237" s="255" t="s">
        <v>9136</v>
      </c>
      <c r="B6237" s="253"/>
      <c r="C6237" s="254"/>
    </row>
    <row r="6238" spans="1:3" ht="47.25" x14ac:dyDescent="0.25">
      <c r="A6238" s="127" t="s">
        <v>10812</v>
      </c>
      <c r="B6238" s="4" t="s">
        <v>9696</v>
      </c>
      <c r="C6238" s="83">
        <v>959</v>
      </c>
    </row>
    <row r="6239" spans="1:3" ht="47.25" x14ac:dyDescent="0.25">
      <c r="A6239" s="127" t="s">
        <v>10813</v>
      </c>
      <c r="B6239" s="4" t="s">
        <v>9859</v>
      </c>
      <c r="C6239" s="83">
        <v>919</v>
      </c>
    </row>
    <row r="6240" spans="1:3" ht="63" x14ac:dyDescent="0.25">
      <c r="A6240" s="127" t="s">
        <v>10814</v>
      </c>
      <c r="B6240" s="4" t="s">
        <v>9861</v>
      </c>
      <c r="C6240" s="83">
        <v>1009</v>
      </c>
    </row>
    <row r="6241" spans="1:3" ht="63" x14ac:dyDescent="0.25">
      <c r="A6241" s="127" t="s">
        <v>10815</v>
      </c>
      <c r="B6241" s="4" t="s">
        <v>9863</v>
      </c>
      <c r="C6241" s="83">
        <v>969</v>
      </c>
    </row>
    <row r="6242" spans="1:3" ht="63" x14ac:dyDescent="0.25">
      <c r="A6242" s="127" t="s">
        <v>10816</v>
      </c>
      <c r="B6242" s="4" t="s">
        <v>10245</v>
      </c>
      <c r="C6242" s="83">
        <v>999</v>
      </c>
    </row>
    <row r="6243" spans="1:3" ht="63" x14ac:dyDescent="0.25">
      <c r="A6243" s="127" t="s">
        <v>10817</v>
      </c>
      <c r="B6243" s="4" t="s">
        <v>9702</v>
      </c>
      <c r="C6243" s="83">
        <v>959</v>
      </c>
    </row>
    <row r="6244" spans="1:3" x14ac:dyDescent="0.25">
      <c r="A6244" s="156"/>
      <c r="B6244" s="147"/>
    </row>
    <row r="6245" spans="1:3" ht="36" x14ac:dyDescent="0.25">
      <c r="A6245" s="225" t="s">
        <v>9122</v>
      </c>
      <c r="B6245" s="228" t="s">
        <v>9149</v>
      </c>
      <c r="C6245" s="233"/>
    </row>
    <row r="6246" spans="1:3" ht="47.25" x14ac:dyDescent="0.25">
      <c r="A6246" s="127" t="s">
        <v>10818</v>
      </c>
      <c r="B6246" s="4" t="s">
        <v>9704</v>
      </c>
      <c r="C6246" s="83">
        <v>999</v>
      </c>
    </row>
    <row r="6247" spans="1:3" ht="47.25" x14ac:dyDescent="0.25">
      <c r="A6247" s="127" t="s">
        <v>10819</v>
      </c>
      <c r="B6247" s="4" t="s">
        <v>9706</v>
      </c>
      <c r="C6247" s="83">
        <v>959</v>
      </c>
    </row>
    <row r="6248" spans="1:3" ht="47.25" x14ac:dyDescent="0.25">
      <c r="A6248" s="127" t="s">
        <v>10820</v>
      </c>
      <c r="B6248" s="4" t="s">
        <v>9708</v>
      </c>
      <c r="C6248" s="83">
        <v>1049</v>
      </c>
    </row>
    <row r="6249" spans="1:3" ht="47.25" x14ac:dyDescent="0.25">
      <c r="A6249" s="127" t="s">
        <v>10821</v>
      </c>
      <c r="B6249" s="4" t="s">
        <v>9710</v>
      </c>
      <c r="C6249" s="83">
        <v>979</v>
      </c>
    </row>
    <row r="6250" spans="1:3" ht="47.25" x14ac:dyDescent="0.25">
      <c r="A6250" s="127" t="s">
        <v>10822</v>
      </c>
      <c r="B6250" s="4" t="s">
        <v>9712</v>
      </c>
      <c r="C6250" s="83">
        <v>1009</v>
      </c>
    </row>
    <row r="6251" spans="1:3" ht="47.25" x14ac:dyDescent="0.25">
      <c r="A6251" s="127" t="s">
        <v>10823</v>
      </c>
      <c r="B6251" s="4" t="s">
        <v>9714</v>
      </c>
      <c r="C6251" s="83">
        <v>969</v>
      </c>
    </row>
    <row r="6252" spans="1:3" ht="18" x14ac:dyDescent="0.25">
      <c r="A6252" s="225" t="s">
        <v>9162</v>
      </c>
      <c r="B6252" s="219"/>
      <c r="C6252" s="233"/>
    </row>
    <row r="6253" spans="1:3" ht="47.25" x14ac:dyDescent="0.25">
      <c r="A6253" s="127" t="s">
        <v>10824</v>
      </c>
      <c r="B6253" s="4" t="s">
        <v>9716</v>
      </c>
      <c r="C6253" s="83">
        <v>1099</v>
      </c>
    </row>
    <row r="6254" spans="1:3" ht="47.25" x14ac:dyDescent="0.25">
      <c r="A6254" s="127" t="s">
        <v>10825</v>
      </c>
      <c r="B6254" s="4" t="s">
        <v>9718</v>
      </c>
      <c r="C6254" s="83">
        <v>1059</v>
      </c>
    </row>
    <row r="6255" spans="1:3" ht="63" x14ac:dyDescent="0.25">
      <c r="A6255" s="127" t="s">
        <v>10826</v>
      </c>
      <c r="B6255" s="4" t="s">
        <v>9875</v>
      </c>
      <c r="C6255" s="83">
        <v>1149</v>
      </c>
    </row>
    <row r="6256" spans="1:3" ht="63" x14ac:dyDescent="0.25">
      <c r="A6256" s="127" t="s">
        <v>10827</v>
      </c>
      <c r="B6256" s="4" t="s">
        <v>9722</v>
      </c>
      <c r="C6256" s="83">
        <v>1109</v>
      </c>
    </row>
    <row r="6257" spans="1:3" ht="63" x14ac:dyDescent="0.25">
      <c r="A6257" s="127" t="s">
        <v>10828</v>
      </c>
      <c r="B6257" s="4" t="s">
        <v>9724</v>
      </c>
      <c r="C6257" s="83">
        <v>1139</v>
      </c>
    </row>
    <row r="6258" spans="1:3" ht="63" x14ac:dyDescent="0.25">
      <c r="A6258" s="127" t="s">
        <v>10829</v>
      </c>
      <c r="B6258" s="4" t="s">
        <v>9726</v>
      </c>
      <c r="C6258" s="83">
        <v>1099</v>
      </c>
    </row>
    <row r="6259" spans="1:3" x14ac:dyDescent="0.25">
      <c r="A6259" s="156"/>
      <c r="B6259" s="139"/>
    </row>
    <row r="6260" spans="1:3" ht="36" x14ac:dyDescent="0.25">
      <c r="A6260" s="225" t="s">
        <v>9122</v>
      </c>
      <c r="B6260" s="228" t="s">
        <v>9175</v>
      </c>
      <c r="C6260" s="233"/>
    </row>
    <row r="6261" spans="1:3" ht="47.25" x14ac:dyDescent="0.25">
      <c r="A6261" s="127" t="s">
        <v>10830</v>
      </c>
      <c r="B6261" s="4" t="s">
        <v>9728</v>
      </c>
      <c r="C6261" s="83">
        <v>979</v>
      </c>
    </row>
    <row r="6262" spans="1:3" ht="47.25" x14ac:dyDescent="0.25">
      <c r="A6262" s="127" t="s">
        <v>10831</v>
      </c>
      <c r="B6262" s="4" t="s">
        <v>9730</v>
      </c>
      <c r="C6262" s="83">
        <v>939</v>
      </c>
    </row>
    <row r="6263" spans="1:3" ht="47.25" x14ac:dyDescent="0.25">
      <c r="A6263" s="127" t="s">
        <v>10832</v>
      </c>
      <c r="B6263" s="4" t="s">
        <v>9732</v>
      </c>
      <c r="C6263" s="83">
        <v>1049</v>
      </c>
    </row>
    <row r="6264" spans="1:3" ht="47.25" x14ac:dyDescent="0.25">
      <c r="A6264" s="127" t="s">
        <v>10833</v>
      </c>
      <c r="B6264" s="4" t="s">
        <v>9734</v>
      </c>
      <c r="C6264" s="83">
        <v>969</v>
      </c>
    </row>
    <row r="6265" spans="1:3" ht="47.25" x14ac:dyDescent="0.25">
      <c r="A6265" s="127" t="s">
        <v>10834</v>
      </c>
      <c r="B6265" s="4" t="s">
        <v>9736</v>
      </c>
      <c r="C6265" s="83">
        <v>1009</v>
      </c>
    </row>
    <row r="6266" spans="1:3" ht="47.25" x14ac:dyDescent="0.25">
      <c r="A6266" s="127" t="s">
        <v>10835</v>
      </c>
      <c r="B6266" s="4" t="s">
        <v>9738</v>
      </c>
      <c r="C6266" s="83">
        <v>969</v>
      </c>
    </row>
    <row r="6267" spans="1:3" ht="18" x14ac:dyDescent="0.25">
      <c r="A6267" s="225" t="s">
        <v>9136</v>
      </c>
      <c r="B6267" s="219"/>
      <c r="C6267" s="233"/>
    </row>
    <row r="6268" spans="1:3" ht="47.25" x14ac:dyDescent="0.25">
      <c r="A6268" s="127" t="s">
        <v>1022</v>
      </c>
      <c r="B6268" s="4" t="s">
        <v>9740</v>
      </c>
      <c r="C6268" s="83">
        <v>1089</v>
      </c>
    </row>
    <row r="6269" spans="1:3" ht="47.25" x14ac:dyDescent="0.25">
      <c r="A6269" s="127" t="s">
        <v>10836</v>
      </c>
      <c r="B6269" s="4" t="s">
        <v>9742</v>
      </c>
      <c r="C6269" s="83">
        <v>1049</v>
      </c>
    </row>
    <row r="6270" spans="1:3" ht="63" x14ac:dyDescent="0.25">
      <c r="A6270" s="127" t="s">
        <v>10837</v>
      </c>
      <c r="B6270" s="4" t="s">
        <v>9744</v>
      </c>
      <c r="C6270" s="83">
        <v>1149</v>
      </c>
    </row>
    <row r="6271" spans="1:3" ht="63" x14ac:dyDescent="0.25">
      <c r="A6271" s="127" t="s">
        <v>10838</v>
      </c>
      <c r="B6271" s="4" t="s">
        <v>9746</v>
      </c>
      <c r="C6271" s="83">
        <v>1099</v>
      </c>
    </row>
    <row r="6272" spans="1:3" ht="63" x14ac:dyDescent="0.25">
      <c r="A6272" s="127" t="s">
        <v>10839</v>
      </c>
      <c r="B6272" s="4" t="s">
        <v>9748</v>
      </c>
      <c r="C6272" s="83">
        <v>1129</v>
      </c>
    </row>
    <row r="6273" spans="1:3" ht="63" x14ac:dyDescent="0.25">
      <c r="A6273" s="127" t="s">
        <v>10840</v>
      </c>
      <c r="B6273" s="4" t="s">
        <v>9750</v>
      </c>
      <c r="C6273" s="83">
        <v>1089</v>
      </c>
    </row>
    <row r="6274" spans="1:3" x14ac:dyDescent="0.25">
      <c r="A6274" s="194" t="s">
        <v>9199</v>
      </c>
      <c r="B6274" s="139"/>
    </row>
    <row r="6275" spans="1:3" x14ac:dyDescent="0.25">
      <c r="A6275" s="69"/>
      <c r="B6275" s="139"/>
    </row>
    <row r="6276" spans="1:3" ht="54" x14ac:dyDescent="0.25">
      <c r="A6276" s="223"/>
      <c r="B6276" s="219" t="s">
        <v>15813</v>
      </c>
      <c r="C6276" s="233"/>
    </row>
    <row r="6277" spans="1:3" ht="78.75" x14ac:dyDescent="0.25">
      <c r="A6277" s="127" t="s">
        <v>10841</v>
      </c>
      <c r="B6277" s="4" t="s">
        <v>10842</v>
      </c>
      <c r="C6277" s="83">
        <v>1279</v>
      </c>
    </row>
    <row r="6278" spans="1:3" ht="78.75" x14ac:dyDescent="0.25">
      <c r="A6278" s="127" t="s">
        <v>10843</v>
      </c>
      <c r="B6278" s="4" t="s">
        <v>10844</v>
      </c>
      <c r="C6278" s="83">
        <v>1279</v>
      </c>
    </row>
    <row r="6279" spans="1:3" ht="78.75" x14ac:dyDescent="0.25">
      <c r="A6279" s="127" t="s">
        <v>10845</v>
      </c>
      <c r="B6279" s="4" t="s">
        <v>10846</v>
      </c>
      <c r="C6279" s="83">
        <v>1279</v>
      </c>
    </row>
    <row r="6280" spans="1:3" ht="78.75" x14ac:dyDescent="0.25">
      <c r="A6280" s="127" t="s">
        <v>8302</v>
      </c>
      <c r="B6280" s="4" t="s">
        <v>10847</v>
      </c>
      <c r="C6280" s="83">
        <v>1279</v>
      </c>
    </row>
    <row r="6281" spans="1:3" x14ac:dyDescent="0.25">
      <c r="A6281" s="128"/>
      <c r="B6281" s="73"/>
    </row>
    <row r="6282" spans="1:3" ht="36" x14ac:dyDescent="0.25">
      <c r="A6282" s="186" t="s">
        <v>9217</v>
      </c>
      <c r="B6282" s="193" t="s">
        <v>9218</v>
      </c>
      <c r="C6282" s="224"/>
    </row>
    <row r="6283" spans="1:3" ht="63" x14ac:dyDescent="0.25">
      <c r="A6283" s="127" t="s">
        <v>10848</v>
      </c>
      <c r="B6283" s="66" t="s">
        <v>9220</v>
      </c>
      <c r="C6283" s="83">
        <v>599</v>
      </c>
    </row>
    <row r="6284" spans="1:3" ht="63" x14ac:dyDescent="0.25">
      <c r="A6284" s="127" t="s">
        <v>10849</v>
      </c>
      <c r="B6284" s="66" t="s">
        <v>10850</v>
      </c>
      <c r="C6284" s="83">
        <v>599</v>
      </c>
    </row>
    <row r="6285" spans="1:3" x14ac:dyDescent="0.25">
      <c r="A6285" s="156"/>
      <c r="B6285" s="147"/>
    </row>
    <row r="6286" spans="1:3" ht="36" x14ac:dyDescent="0.25">
      <c r="A6286" s="223"/>
      <c r="B6286" s="219" t="s">
        <v>9228</v>
      </c>
      <c r="C6286" s="233"/>
    </row>
    <row r="6287" spans="1:3" ht="78.75" x14ac:dyDescent="0.25">
      <c r="A6287" s="127" t="s">
        <v>8304</v>
      </c>
      <c r="B6287" s="4" t="s">
        <v>10851</v>
      </c>
      <c r="C6287" s="83">
        <v>659</v>
      </c>
    </row>
    <row r="6288" spans="1:3" ht="78.75" x14ac:dyDescent="0.25">
      <c r="A6288" s="127" t="s">
        <v>10852</v>
      </c>
      <c r="B6288" s="4" t="s">
        <v>10853</v>
      </c>
      <c r="C6288" s="83">
        <v>689</v>
      </c>
    </row>
    <row r="6289" spans="1:3" x14ac:dyDescent="0.25">
      <c r="A6289" s="156"/>
      <c r="B6289" s="147"/>
    </row>
    <row r="6290" spans="1:3" x14ac:dyDescent="0.25">
      <c r="A6290" s="251"/>
      <c r="B6290" s="235" t="s">
        <v>10854</v>
      </c>
      <c r="C6290" s="82"/>
    </row>
    <row r="6291" spans="1:3" ht="18" x14ac:dyDescent="0.25">
      <c r="A6291" s="223"/>
      <c r="B6291" s="219" t="s">
        <v>9246</v>
      </c>
      <c r="C6291" s="233"/>
    </row>
    <row r="6292" spans="1:3" ht="47.25" x14ac:dyDescent="0.25">
      <c r="A6292" s="127" t="s">
        <v>10855</v>
      </c>
      <c r="B6292" s="4" t="s">
        <v>9248</v>
      </c>
      <c r="C6292" s="83">
        <v>579</v>
      </c>
    </row>
    <row r="6293" spans="1:3" ht="47.25" x14ac:dyDescent="0.25">
      <c r="A6293" s="127" t="s">
        <v>10856</v>
      </c>
      <c r="B6293" s="4" t="s">
        <v>9634</v>
      </c>
      <c r="C6293" s="83">
        <v>579</v>
      </c>
    </row>
    <row r="6294" spans="1:3" x14ac:dyDescent="0.25">
      <c r="A6294" s="156"/>
      <c r="B6294" s="212" t="s">
        <v>9251</v>
      </c>
    </row>
    <row r="6295" spans="1:3" x14ac:dyDescent="0.25">
      <c r="A6295" s="156"/>
      <c r="B6295" s="256"/>
    </row>
    <row r="6296" spans="1:3" x14ac:dyDescent="0.25">
      <c r="A6296" s="156"/>
      <c r="B6296" s="235" t="s">
        <v>10854</v>
      </c>
    </row>
    <row r="6297" spans="1:3" ht="54" x14ac:dyDescent="0.25">
      <c r="A6297" s="223"/>
      <c r="B6297" s="219" t="s">
        <v>9252</v>
      </c>
      <c r="C6297" s="233"/>
    </row>
    <row r="6298" spans="1:3" ht="31.5" x14ac:dyDescent="0.25">
      <c r="A6298" s="127" t="s">
        <v>10857</v>
      </c>
      <c r="B6298" s="66" t="s">
        <v>9254</v>
      </c>
      <c r="C6298" s="83">
        <v>949</v>
      </c>
    </row>
    <row r="6299" spans="1:3" ht="31.5" x14ac:dyDescent="0.25">
      <c r="A6299" s="127" t="s">
        <v>10858</v>
      </c>
      <c r="B6299" s="66" t="s">
        <v>9256</v>
      </c>
      <c r="C6299" s="83">
        <v>949</v>
      </c>
    </row>
    <row r="6300" spans="1:3" ht="31.5" x14ac:dyDescent="0.25">
      <c r="A6300" s="127" t="s">
        <v>10859</v>
      </c>
      <c r="B6300" s="66" t="s">
        <v>9258</v>
      </c>
      <c r="C6300" s="83">
        <v>1029</v>
      </c>
    </row>
    <row r="6301" spans="1:3" x14ac:dyDescent="0.25">
      <c r="A6301" s="156"/>
      <c r="B6301" s="212" t="s">
        <v>9251</v>
      </c>
    </row>
    <row r="6302" spans="1:3" x14ac:dyDescent="0.25">
      <c r="A6302" s="156"/>
      <c r="B6302" s="256"/>
    </row>
    <row r="6303" spans="1:3" x14ac:dyDescent="0.25">
      <c r="A6303" s="156"/>
      <c r="B6303" s="235" t="s">
        <v>10854</v>
      </c>
    </row>
    <row r="6304" spans="1:3" ht="54" x14ac:dyDescent="0.25">
      <c r="A6304" s="223"/>
      <c r="B6304" s="219" t="s">
        <v>9259</v>
      </c>
      <c r="C6304" s="233"/>
    </row>
    <row r="6305" spans="1:3" ht="31.5" x14ac:dyDescent="0.25">
      <c r="A6305" s="127" t="s">
        <v>10860</v>
      </c>
      <c r="B6305" s="66" t="s">
        <v>9261</v>
      </c>
      <c r="C6305" s="83">
        <v>1179</v>
      </c>
    </row>
    <row r="6306" spans="1:3" ht="31.5" x14ac:dyDescent="0.25">
      <c r="A6306" s="127" t="s">
        <v>10861</v>
      </c>
      <c r="B6306" s="66" t="s">
        <v>9263</v>
      </c>
      <c r="C6306" s="83">
        <v>1179</v>
      </c>
    </row>
    <row r="6307" spans="1:3" ht="31.5" x14ac:dyDescent="0.25">
      <c r="A6307" s="127" t="s">
        <v>10862</v>
      </c>
      <c r="B6307" s="66" t="s">
        <v>9265</v>
      </c>
      <c r="C6307" s="83">
        <v>1339</v>
      </c>
    </row>
    <row r="6308" spans="1:3" x14ac:dyDescent="0.25">
      <c r="A6308" s="156"/>
      <c r="B6308" s="212" t="s">
        <v>9251</v>
      </c>
    </row>
    <row r="6309" spans="1:3" x14ac:dyDescent="0.25">
      <c r="A6309" s="156"/>
      <c r="B6309" s="131"/>
    </row>
    <row r="6310" spans="1:3" ht="54" x14ac:dyDescent="0.25">
      <c r="A6310" s="200"/>
      <c r="B6310" s="193" t="s">
        <v>9266</v>
      </c>
      <c r="C6310" s="233"/>
    </row>
    <row r="6311" spans="1:3" ht="31.5" x14ac:dyDescent="0.25">
      <c r="A6311" s="44" t="s">
        <v>10863</v>
      </c>
      <c r="B6311" s="66" t="s">
        <v>9268</v>
      </c>
      <c r="C6311" s="83">
        <v>1459</v>
      </c>
    </row>
    <row r="6312" spans="1:3" ht="31.5" x14ac:dyDescent="0.25">
      <c r="A6312" s="44" t="s">
        <v>10864</v>
      </c>
      <c r="B6312" s="66" t="s">
        <v>9270</v>
      </c>
      <c r="C6312" s="83">
        <v>1459</v>
      </c>
    </row>
    <row r="6313" spans="1:3" ht="31.5" x14ac:dyDescent="0.25">
      <c r="A6313" s="44" t="s">
        <v>10865</v>
      </c>
      <c r="B6313" s="66" t="s">
        <v>9272</v>
      </c>
      <c r="C6313" s="83">
        <v>1689</v>
      </c>
    </row>
    <row r="6314" spans="1:3" x14ac:dyDescent="0.25">
      <c r="A6314" s="156"/>
      <c r="B6314" s="131"/>
    </row>
    <row r="6315" spans="1:3" x14ac:dyDescent="0.25">
      <c r="A6315" s="156"/>
      <c r="B6315" s="235" t="s">
        <v>10854</v>
      </c>
    </row>
    <row r="6316" spans="1:3" x14ac:dyDescent="0.25">
      <c r="A6316" s="126"/>
      <c r="B6316" s="198" t="s">
        <v>9273</v>
      </c>
    </row>
    <row r="6317" spans="1:3" ht="36" x14ac:dyDescent="0.25">
      <c r="A6317" s="202"/>
      <c r="B6317" s="193" t="s">
        <v>15799</v>
      </c>
      <c r="C6317" s="233"/>
    </row>
    <row r="6318" spans="1:3" ht="31.5" x14ac:dyDescent="0.25">
      <c r="A6318" s="44" t="s">
        <v>10866</v>
      </c>
      <c r="B6318" s="66" t="s">
        <v>9275</v>
      </c>
      <c r="C6318" s="83">
        <v>609</v>
      </c>
    </row>
    <row r="6319" spans="1:3" ht="31.5" x14ac:dyDescent="0.25">
      <c r="A6319" s="44" t="s">
        <v>10867</v>
      </c>
      <c r="B6319" s="66" t="s">
        <v>9277</v>
      </c>
      <c r="C6319" s="83">
        <v>609</v>
      </c>
    </row>
    <row r="6320" spans="1:3" ht="31.5" x14ac:dyDescent="0.25">
      <c r="A6320" s="44" t="s">
        <v>10868</v>
      </c>
      <c r="B6320" s="66" t="s">
        <v>9279</v>
      </c>
      <c r="C6320" s="83">
        <v>609</v>
      </c>
    </row>
    <row r="6321" spans="1:3" ht="31.5" x14ac:dyDescent="0.25">
      <c r="A6321" s="44" t="s">
        <v>10869</v>
      </c>
      <c r="B6321" s="66" t="s">
        <v>9281</v>
      </c>
      <c r="C6321" s="83">
        <v>609</v>
      </c>
    </row>
    <row r="6322" spans="1:3" ht="31.5" x14ac:dyDescent="0.25">
      <c r="A6322" s="44" t="s">
        <v>10870</v>
      </c>
      <c r="B6322" s="66" t="s">
        <v>9283</v>
      </c>
      <c r="C6322" s="83">
        <v>609</v>
      </c>
    </row>
    <row r="6323" spans="1:3" ht="31.5" x14ac:dyDescent="0.25">
      <c r="A6323" s="44" t="s">
        <v>10871</v>
      </c>
      <c r="B6323" s="66" t="s">
        <v>9285</v>
      </c>
      <c r="C6323" s="83">
        <v>609</v>
      </c>
    </row>
    <row r="6324" spans="1:3" ht="31.5" x14ac:dyDescent="0.25">
      <c r="A6324" s="44" t="s">
        <v>10872</v>
      </c>
      <c r="B6324" s="66" t="s">
        <v>9287</v>
      </c>
      <c r="C6324" s="83">
        <v>609</v>
      </c>
    </row>
    <row r="6325" spans="1:3" x14ac:dyDescent="0.25">
      <c r="A6325" s="126"/>
      <c r="B6325" s="198" t="s">
        <v>9251</v>
      </c>
    </row>
    <row r="6326" spans="1:3" x14ac:dyDescent="0.25">
      <c r="A6326" s="126"/>
      <c r="B6326" s="198"/>
    </row>
    <row r="6327" spans="1:3" x14ac:dyDescent="0.25">
      <c r="A6327" s="126"/>
      <c r="B6327" s="235" t="s">
        <v>10854</v>
      </c>
    </row>
    <row r="6328" spans="1:3" x14ac:dyDescent="0.25">
      <c r="A6328" s="126"/>
      <c r="B6328" s="198" t="s">
        <v>9273</v>
      </c>
    </row>
    <row r="6329" spans="1:3" ht="36" x14ac:dyDescent="0.25">
      <c r="A6329" s="202"/>
      <c r="B6329" s="193" t="s">
        <v>15800</v>
      </c>
      <c r="C6329" s="233"/>
    </row>
    <row r="6330" spans="1:3" ht="31.5" x14ac:dyDescent="0.25">
      <c r="A6330" s="44" t="s">
        <v>10873</v>
      </c>
      <c r="B6330" s="66" t="s">
        <v>9289</v>
      </c>
      <c r="C6330" s="83">
        <v>619</v>
      </c>
    </row>
    <row r="6331" spans="1:3" ht="31.5" x14ac:dyDescent="0.25">
      <c r="A6331" s="44" t="s">
        <v>10874</v>
      </c>
      <c r="B6331" s="66" t="s">
        <v>9291</v>
      </c>
      <c r="C6331" s="83">
        <v>619</v>
      </c>
    </row>
    <row r="6332" spans="1:3" ht="31.5" x14ac:dyDescent="0.25">
      <c r="A6332" s="44" t="s">
        <v>10875</v>
      </c>
      <c r="B6332" s="66" t="s">
        <v>9293</v>
      </c>
      <c r="C6332" s="83">
        <v>619</v>
      </c>
    </row>
    <row r="6333" spans="1:3" ht="31.5" x14ac:dyDescent="0.25">
      <c r="A6333" s="44" t="s">
        <v>10876</v>
      </c>
      <c r="B6333" s="66" t="s">
        <v>9295</v>
      </c>
      <c r="C6333" s="83">
        <v>619</v>
      </c>
    </row>
    <row r="6334" spans="1:3" ht="31.5" x14ac:dyDescent="0.25">
      <c r="A6334" s="44" t="s">
        <v>10877</v>
      </c>
      <c r="B6334" s="66" t="s">
        <v>9297</v>
      </c>
      <c r="C6334" s="83">
        <v>619</v>
      </c>
    </row>
    <row r="6335" spans="1:3" ht="31.5" x14ac:dyDescent="0.25">
      <c r="A6335" s="44" t="s">
        <v>10878</v>
      </c>
      <c r="B6335" s="66" t="s">
        <v>9299</v>
      </c>
      <c r="C6335" s="83">
        <v>619</v>
      </c>
    </row>
    <row r="6336" spans="1:3" ht="31.5" x14ac:dyDescent="0.25">
      <c r="A6336" s="44" t="s">
        <v>10879</v>
      </c>
      <c r="B6336" s="66" t="s">
        <v>10880</v>
      </c>
      <c r="C6336" s="83">
        <v>619</v>
      </c>
    </row>
    <row r="6337" spans="1:3" x14ac:dyDescent="0.25">
      <c r="A6337" s="126"/>
      <c r="B6337" s="198" t="s">
        <v>9251</v>
      </c>
    </row>
    <row r="6338" spans="1:3" x14ac:dyDescent="0.25">
      <c r="A6338" s="126"/>
      <c r="B6338" s="198"/>
    </row>
    <row r="6339" spans="1:3" x14ac:dyDescent="0.25">
      <c r="A6339" s="126"/>
      <c r="B6339" s="198" t="s">
        <v>9273</v>
      </c>
    </row>
    <row r="6340" spans="1:3" ht="36" x14ac:dyDescent="0.25">
      <c r="A6340" s="202"/>
      <c r="B6340" s="193" t="s">
        <v>15801</v>
      </c>
      <c r="C6340" s="233"/>
    </row>
    <row r="6341" spans="1:3" ht="31.5" x14ac:dyDescent="0.25">
      <c r="A6341" s="44" t="s">
        <v>10881</v>
      </c>
      <c r="B6341" s="66" t="s">
        <v>9303</v>
      </c>
      <c r="C6341" s="83">
        <v>629</v>
      </c>
    </row>
    <row r="6342" spans="1:3" ht="31.5" x14ac:dyDescent="0.25">
      <c r="A6342" s="44" t="s">
        <v>9304</v>
      </c>
      <c r="B6342" s="66" t="s">
        <v>9305</v>
      </c>
      <c r="C6342" s="83">
        <v>0</v>
      </c>
    </row>
    <row r="6343" spans="1:3" ht="31.5" x14ac:dyDescent="0.25">
      <c r="A6343" s="44" t="s">
        <v>10882</v>
      </c>
      <c r="B6343" s="66" t="s">
        <v>9307</v>
      </c>
      <c r="C6343" s="83">
        <v>629</v>
      </c>
    </row>
    <row r="6344" spans="1:3" ht="31.5" x14ac:dyDescent="0.25">
      <c r="A6344" s="44" t="s">
        <v>9304</v>
      </c>
      <c r="B6344" s="66" t="s">
        <v>9308</v>
      </c>
      <c r="C6344" s="83">
        <v>0</v>
      </c>
    </row>
    <row r="6345" spans="1:3" ht="31.5" x14ac:dyDescent="0.25">
      <c r="A6345" s="44" t="s">
        <v>10883</v>
      </c>
      <c r="B6345" s="66" t="s">
        <v>9310</v>
      </c>
      <c r="C6345" s="83">
        <v>629</v>
      </c>
    </row>
    <row r="6346" spans="1:3" ht="31.5" x14ac:dyDescent="0.25">
      <c r="A6346" s="44" t="s">
        <v>10884</v>
      </c>
      <c r="B6346" s="66" t="s">
        <v>9312</v>
      </c>
      <c r="C6346" s="83">
        <v>629</v>
      </c>
    </row>
    <row r="6347" spans="1:3" ht="31.5" x14ac:dyDescent="0.25">
      <c r="A6347" s="44" t="s">
        <v>10885</v>
      </c>
      <c r="B6347" s="66" t="s">
        <v>9314</v>
      </c>
      <c r="C6347" s="83">
        <v>629</v>
      </c>
    </row>
    <row r="6348" spans="1:3" x14ac:dyDescent="0.25">
      <c r="A6348" s="194" t="s">
        <v>9315</v>
      </c>
      <c r="B6348" s="256"/>
      <c r="C6348" s="82"/>
    </row>
    <row r="6349" spans="1:3" x14ac:dyDescent="0.25">
      <c r="A6349" s="69"/>
      <c r="B6349" s="147"/>
    </row>
    <row r="6350" spans="1:3" ht="18" x14ac:dyDescent="0.25">
      <c r="A6350" s="223"/>
      <c r="B6350" s="219" t="s">
        <v>9316</v>
      </c>
      <c r="C6350" s="233"/>
    </row>
    <row r="6351" spans="1:3" x14ac:dyDescent="0.25">
      <c r="A6351" s="127" t="s">
        <v>10886</v>
      </c>
      <c r="B6351" s="4" t="s">
        <v>9318</v>
      </c>
      <c r="C6351" s="83">
        <v>279</v>
      </c>
    </row>
    <row r="6352" spans="1:3" x14ac:dyDescent="0.25">
      <c r="A6352" s="156"/>
      <c r="B6352" s="147"/>
    </row>
    <row r="6353" spans="1:3" x14ac:dyDescent="0.25">
      <c r="A6353" s="251"/>
      <c r="B6353" s="235" t="s">
        <v>10887</v>
      </c>
      <c r="C6353" s="82"/>
    </row>
    <row r="6354" spans="1:3" ht="18" x14ac:dyDescent="0.25">
      <c r="A6354" s="223"/>
      <c r="B6354" s="219" t="s">
        <v>9320</v>
      </c>
      <c r="C6354" s="233"/>
    </row>
    <row r="6355" spans="1:3" ht="47.25" x14ac:dyDescent="0.25">
      <c r="A6355" s="127" t="s">
        <v>10888</v>
      </c>
      <c r="B6355" s="4" t="s">
        <v>9322</v>
      </c>
      <c r="C6355" s="83">
        <v>679</v>
      </c>
    </row>
    <row r="6356" spans="1:3" ht="47.25" x14ac:dyDescent="0.25">
      <c r="A6356" s="127" t="s">
        <v>10889</v>
      </c>
      <c r="B6356" s="4" t="s">
        <v>9324</v>
      </c>
      <c r="C6356" s="83">
        <v>699</v>
      </c>
    </row>
    <row r="6357" spans="1:3" ht="47.25" x14ac:dyDescent="0.25">
      <c r="A6357" s="127" t="s">
        <v>10890</v>
      </c>
      <c r="B6357" s="4" t="s">
        <v>9326</v>
      </c>
      <c r="C6357" s="83">
        <v>699</v>
      </c>
    </row>
    <row r="6358" spans="1:3" x14ac:dyDescent="0.25">
      <c r="A6358" s="156"/>
      <c r="B6358" s="147"/>
    </row>
    <row r="6359" spans="1:3" x14ac:dyDescent="0.25">
      <c r="A6359" s="156"/>
      <c r="B6359" s="235" t="s">
        <v>10891</v>
      </c>
    </row>
    <row r="6360" spans="1:3" ht="18" x14ac:dyDescent="0.25">
      <c r="A6360" s="223"/>
      <c r="B6360" s="219" t="s">
        <v>9328</v>
      </c>
      <c r="C6360" s="233"/>
    </row>
    <row r="6361" spans="1:3" ht="63" x14ac:dyDescent="0.25">
      <c r="A6361" s="127" t="s">
        <v>10892</v>
      </c>
      <c r="B6361" s="148" t="s">
        <v>9330</v>
      </c>
      <c r="C6361" s="83">
        <v>889</v>
      </c>
    </row>
    <row r="6362" spans="1:3" ht="31.5" x14ac:dyDescent="0.25">
      <c r="A6362" s="127" t="s">
        <v>10893</v>
      </c>
      <c r="B6362" s="4" t="s">
        <v>9937</v>
      </c>
      <c r="C6362" s="83">
        <v>459</v>
      </c>
    </row>
    <row r="6363" spans="1:3" ht="63" x14ac:dyDescent="0.25">
      <c r="A6363" s="127" t="s">
        <v>10894</v>
      </c>
      <c r="B6363" s="148" t="s">
        <v>9336</v>
      </c>
      <c r="C6363" s="83">
        <v>929</v>
      </c>
    </row>
    <row r="6364" spans="1:3" ht="63" x14ac:dyDescent="0.25">
      <c r="A6364" s="127" t="s">
        <v>10895</v>
      </c>
      <c r="B6364" s="148" t="s">
        <v>9334</v>
      </c>
      <c r="C6364" s="83">
        <v>929</v>
      </c>
    </row>
    <row r="6365" spans="1:3" x14ac:dyDescent="0.25">
      <c r="A6365" s="156"/>
      <c r="B6365" s="147"/>
    </row>
    <row r="6366" spans="1:3" x14ac:dyDescent="0.25">
      <c r="A6366" s="156"/>
      <c r="B6366" s="235" t="s">
        <v>10896</v>
      </c>
    </row>
    <row r="6367" spans="1:3" ht="18" x14ac:dyDescent="0.25">
      <c r="A6367" s="223"/>
      <c r="B6367" s="219" t="s">
        <v>9246</v>
      </c>
      <c r="C6367" s="233"/>
    </row>
    <row r="6368" spans="1:3" ht="47.25" x14ac:dyDescent="0.25">
      <c r="A6368" s="127" t="s">
        <v>10897</v>
      </c>
      <c r="B6368" s="4" t="s">
        <v>9248</v>
      </c>
      <c r="C6368" s="83">
        <v>579</v>
      </c>
    </row>
    <row r="6369" spans="1:3" ht="47.25" x14ac:dyDescent="0.25">
      <c r="A6369" s="127" t="s">
        <v>10898</v>
      </c>
      <c r="B6369" s="4" t="s">
        <v>9634</v>
      </c>
      <c r="C6369" s="83">
        <v>579</v>
      </c>
    </row>
    <row r="6370" spans="1:3" x14ac:dyDescent="0.25">
      <c r="A6370" s="156"/>
      <c r="B6370" s="212" t="s">
        <v>9251</v>
      </c>
    </row>
    <row r="6371" spans="1:3" x14ac:dyDescent="0.25">
      <c r="A6371" s="156"/>
      <c r="B6371" s="147"/>
    </row>
    <row r="6372" spans="1:3" x14ac:dyDescent="0.25">
      <c r="A6372" s="156"/>
      <c r="B6372" s="235" t="s">
        <v>10896</v>
      </c>
    </row>
    <row r="6373" spans="1:3" ht="54" x14ac:dyDescent="0.25">
      <c r="A6373" s="223"/>
      <c r="B6373" s="219" t="s">
        <v>9252</v>
      </c>
      <c r="C6373" s="233"/>
    </row>
    <row r="6374" spans="1:3" ht="31.5" x14ac:dyDescent="0.25">
      <c r="A6374" s="127" t="s">
        <v>10899</v>
      </c>
      <c r="B6374" s="66" t="s">
        <v>9254</v>
      </c>
      <c r="C6374" s="83">
        <v>949</v>
      </c>
    </row>
    <row r="6375" spans="1:3" ht="31.5" x14ac:dyDescent="0.25">
      <c r="A6375" s="127" t="s">
        <v>10900</v>
      </c>
      <c r="B6375" s="66" t="s">
        <v>9256</v>
      </c>
      <c r="C6375" s="83">
        <v>949</v>
      </c>
    </row>
    <row r="6376" spans="1:3" ht="31.5" x14ac:dyDescent="0.25">
      <c r="A6376" s="127" t="s">
        <v>10901</v>
      </c>
      <c r="B6376" s="66" t="s">
        <v>9258</v>
      </c>
      <c r="C6376" s="83">
        <v>1029</v>
      </c>
    </row>
    <row r="6377" spans="1:3" x14ac:dyDescent="0.25">
      <c r="A6377" s="156"/>
      <c r="B6377" s="212" t="s">
        <v>9251</v>
      </c>
    </row>
    <row r="6378" spans="1:3" x14ac:dyDescent="0.25">
      <c r="A6378" s="156"/>
      <c r="B6378" s="256"/>
    </row>
    <row r="6379" spans="1:3" x14ac:dyDescent="0.25">
      <c r="A6379" s="156"/>
      <c r="B6379" s="235" t="s">
        <v>10896</v>
      </c>
    </row>
    <row r="6380" spans="1:3" ht="54" x14ac:dyDescent="0.25">
      <c r="A6380" s="223"/>
      <c r="B6380" s="219" t="s">
        <v>9259</v>
      </c>
      <c r="C6380" s="233"/>
    </row>
    <row r="6381" spans="1:3" ht="31.5" x14ac:dyDescent="0.25">
      <c r="A6381" s="127" t="s">
        <v>10902</v>
      </c>
      <c r="B6381" s="66" t="s">
        <v>9261</v>
      </c>
      <c r="C6381" s="83">
        <v>1179</v>
      </c>
    </row>
    <row r="6382" spans="1:3" ht="31.5" x14ac:dyDescent="0.25">
      <c r="A6382" s="127" t="s">
        <v>10903</v>
      </c>
      <c r="B6382" s="66" t="s">
        <v>9263</v>
      </c>
      <c r="C6382" s="83">
        <v>1179</v>
      </c>
    </row>
    <row r="6383" spans="1:3" ht="31.5" x14ac:dyDescent="0.25">
      <c r="A6383" s="127" t="s">
        <v>10904</v>
      </c>
      <c r="B6383" s="66" t="s">
        <v>9265</v>
      </c>
      <c r="C6383" s="83">
        <v>1339</v>
      </c>
    </row>
    <row r="6384" spans="1:3" x14ac:dyDescent="0.25">
      <c r="A6384" s="156"/>
      <c r="B6384" s="212" t="s">
        <v>9251</v>
      </c>
    </row>
    <row r="6385" spans="1:3" x14ac:dyDescent="0.25">
      <c r="A6385" s="156"/>
      <c r="B6385" s="212"/>
    </row>
    <row r="6386" spans="1:3" x14ac:dyDescent="0.25">
      <c r="A6386" s="156"/>
      <c r="B6386" s="235" t="s">
        <v>10896</v>
      </c>
    </row>
    <row r="6387" spans="1:3" ht="54" x14ac:dyDescent="0.25">
      <c r="A6387" s="200"/>
      <c r="B6387" s="193" t="s">
        <v>9266</v>
      </c>
      <c r="C6387" s="233"/>
    </row>
    <row r="6388" spans="1:3" ht="31.5" x14ac:dyDescent="0.25">
      <c r="A6388" s="44" t="s">
        <v>10905</v>
      </c>
      <c r="B6388" s="66" t="s">
        <v>9268</v>
      </c>
      <c r="C6388" s="83">
        <v>1459</v>
      </c>
    </row>
    <row r="6389" spans="1:3" ht="31.5" x14ac:dyDescent="0.25">
      <c r="A6389" s="44" t="s">
        <v>10906</v>
      </c>
      <c r="B6389" s="66" t="s">
        <v>9270</v>
      </c>
      <c r="C6389" s="83">
        <v>1459</v>
      </c>
    </row>
    <row r="6390" spans="1:3" ht="31.5" x14ac:dyDescent="0.25">
      <c r="A6390" s="44" t="s">
        <v>10907</v>
      </c>
      <c r="B6390" s="66" t="s">
        <v>9272</v>
      </c>
      <c r="C6390" s="83">
        <v>1689</v>
      </c>
    </row>
    <row r="6391" spans="1:3" x14ac:dyDescent="0.25">
      <c r="A6391" s="156"/>
      <c r="B6391" s="131"/>
    </row>
    <row r="6392" spans="1:3" x14ac:dyDescent="0.25">
      <c r="A6392" s="156"/>
      <c r="B6392" s="235" t="s">
        <v>10896</v>
      </c>
    </row>
    <row r="6393" spans="1:3" x14ac:dyDescent="0.25">
      <c r="A6393" s="126"/>
      <c r="B6393" s="198" t="s">
        <v>9273</v>
      </c>
    </row>
    <row r="6394" spans="1:3" ht="36" x14ac:dyDescent="0.25">
      <c r="A6394" s="202"/>
      <c r="B6394" s="193" t="s">
        <v>15799</v>
      </c>
      <c r="C6394" s="233"/>
    </row>
    <row r="6395" spans="1:3" ht="31.5" x14ac:dyDescent="0.25">
      <c r="A6395" s="44" t="s">
        <v>10908</v>
      </c>
      <c r="B6395" s="66" t="s">
        <v>9275</v>
      </c>
      <c r="C6395" s="83">
        <v>609</v>
      </c>
    </row>
    <row r="6396" spans="1:3" ht="31.5" x14ac:dyDescent="0.25">
      <c r="A6396" s="44" t="s">
        <v>10909</v>
      </c>
      <c r="B6396" s="66" t="s">
        <v>9277</v>
      </c>
      <c r="C6396" s="83">
        <v>609</v>
      </c>
    </row>
    <row r="6397" spans="1:3" ht="31.5" x14ac:dyDescent="0.25">
      <c r="A6397" s="44" t="s">
        <v>10910</v>
      </c>
      <c r="B6397" s="66" t="s">
        <v>9279</v>
      </c>
      <c r="C6397" s="83">
        <v>609</v>
      </c>
    </row>
    <row r="6398" spans="1:3" ht="31.5" x14ac:dyDescent="0.25">
      <c r="A6398" s="44" t="s">
        <v>10911</v>
      </c>
      <c r="B6398" s="66" t="s">
        <v>9281</v>
      </c>
      <c r="C6398" s="83">
        <v>609</v>
      </c>
    </row>
    <row r="6399" spans="1:3" ht="31.5" x14ac:dyDescent="0.25">
      <c r="A6399" s="44" t="s">
        <v>10912</v>
      </c>
      <c r="B6399" s="66" t="s">
        <v>9283</v>
      </c>
      <c r="C6399" s="83">
        <v>609</v>
      </c>
    </row>
    <row r="6400" spans="1:3" ht="31.5" x14ac:dyDescent="0.25">
      <c r="A6400" s="44" t="s">
        <v>10913</v>
      </c>
      <c r="B6400" s="66" t="s">
        <v>9285</v>
      </c>
      <c r="C6400" s="83">
        <v>609</v>
      </c>
    </row>
    <row r="6401" spans="1:3" ht="31.5" x14ac:dyDescent="0.25">
      <c r="A6401" s="44" t="s">
        <v>10914</v>
      </c>
      <c r="B6401" s="66" t="s">
        <v>9287</v>
      </c>
      <c r="C6401" s="83">
        <v>609</v>
      </c>
    </row>
    <row r="6402" spans="1:3" x14ac:dyDescent="0.25">
      <c r="A6402" s="126"/>
      <c r="B6402" s="198" t="s">
        <v>9251</v>
      </c>
    </row>
    <row r="6403" spans="1:3" x14ac:dyDescent="0.25">
      <c r="A6403" s="126"/>
      <c r="B6403" s="198"/>
    </row>
    <row r="6404" spans="1:3" x14ac:dyDescent="0.25">
      <c r="A6404" s="126"/>
      <c r="B6404" s="235" t="s">
        <v>10896</v>
      </c>
    </row>
    <row r="6405" spans="1:3" x14ac:dyDescent="0.25">
      <c r="A6405" s="126"/>
      <c r="B6405" s="198" t="s">
        <v>9273</v>
      </c>
    </row>
    <row r="6406" spans="1:3" ht="36" x14ac:dyDescent="0.25">
      <c r="A6406" s="202"/>
      <c r="B6406" s="193" t="s">
        <v>15800</v>
      </c>
      <c r="C6406" s="233"/>
    </row>
    <row r="6407" spans="1:3" ht="31.5" x14ac:dyDescent="0.25">
      <c r="A6407" s="44" t="s">
        <v>10915</v>
      </c>
      <c r="B6407" s="66" t="s">
        <v>9289</v>
      </c>
      <c r="C6407" s="83">
        <v>619</v>
      </c>
    </row>
    <row r="6408" spans="1:3" ht="31.5" x14ac:dyDescent="0.25">
      <c r="A6408" s="44" t="s">
        <v>10916</v>
      </c>
      <c r="B6408" s="66" t="s">
        <v>9291</v>
      </c>
      <c r="C6408" s="83">
        <v>619</v>
      </c>
    </row>
    <row r="6409" spans="1:3" ht="31.5" x14ac:dyDescent="0.25">
      <c r="A6409" s="44" t="s">
        <v>10917</v>
      </c>
      <c r="B6409" s="66" t="s">
        <v>9293</v>
      </c>
      <c r="C6409" s="83">
        <v>619</v>
      </c>
    </row>
    <row r="6410" spans="1:3" ht="31.5" x14ac:dyDescent="0.25">
      <c r="A6410" s="44" t="s">
        <v>10918</v>
      </c>
      <c r="B6410" s="66" t="s">
        <v>9295</v>
      </c>
      <c r="C6410" s="83">
        <v>619</v>
      </c>
    </row>
    <row r="6411" spans="1:3" ht="31.5" x14ac:dyDescent="0.25">
      <c r="A6411" s="44" t="s">
        <v>10919</v>
      </c>
      <c r="B6411" s="66" t="s">
        <v>9297</v>
      </c>
      <c r="C6411" s="83">
        <v>619</v>
      </c>
    </row>
    <row r="6412" spans="1:3" ht="31.5" x14ac:dyDescent="0.25">
      <c r="A6412" s="44" t="s">
        <v>10920</v>
      </c>
      <c r="B6412" s="66" t="s">
        <v>9299</v>
      </c>
      <c r="C6412" s="83">
        <v>619</v>
      </c>
    </row>
    <row r="6413" spans="1:3" ht="31.5" x14ac:dyDescent="0.25">
      <c r="A6413" s="44" t="s">
        <v>10921</v>
      </c>
      <c r="B6413" s="66" t="s">
        <v>9301</v>
      </c>
      <c r="C6413" s="83">
        <v>619</v>
      </c>
    </row>
    <row r="6414" spans="1:3" x14ac:dyDescent="0.25">
      <c r="A6414" s="126"/>
      <c r="B6414" s="198" t="s">
        <v>9251</v>
      </c>
    </row>
    <row r="6415" spans="1:3" x14ac:dyDescent="0.25">
      <c r="A6415" s="126"/>
      <c r="B6415" s="198"/>
    </row>
    <row r="6416" spans="1:3" x14ac:dyDescent="0.25">
      <c r="A6416" s="126"/>
      <c r="B6416" s="235" t="s">
        <v>10896</v>
      </c>
    </row>
    <row r="6417" spans="1:3" x14ac:dyDescent="0.25">
      <c r="A6417" s="126"/>
      <c r="B6417" s="198" t="s">
        <v>9273</v>
      </c>
    </row>
    <row r="6418" spans="1:3" ht="36" x14ac:dyDescent="0.25">
      <c r="A6418" s="202"/>
      <c r="B6418" s="193" t="s">
        <v>15801</v>
      </c>
      <c r="C6418" s="233"/>
    </row>
    <row r="6419" spans="1:3" ht="31.5" x14ac:dyDescent="0.25">
      <c r="A6419" s="44" t="s">
        <v>10922</v>
      </c>
      <c r="B6419" s="66" t="s">
        <v>9303</v>
      </c>
      <c r="C6419" s="83">
        <v>629</v>
      </c>
    </row>
    <row r="6420" spans="1:3" ht="31.5" x14ac:dyDescent="0.25">
      <c r="A6420" s="44" t="s">
        <v>9304</v>
      </c>
      <c r="B6420" s="66" t="s">
        <v>9305</v>
      </c>
      <c r="C6420" s="83">
        <v>0</v>
      </c>
    </row>
    <row r="6421" spans="1:3" ht="31.5" x14ac:dyDescent="0.25">
      <c r="A6421" s="44" t="s">
        <v>10923</v>
      </c>
      <c r="B6421" s="66" t="s">
        <v>9307</v>
      </c>
      <c r="C6421" s="83">
        <v>629</v>
      </c>
    </row>
    <row r="6422" spans="1:3" ht="31.5" x14ac:dyDescent="0.25">
      <c r="A6422" s="44" t="s">
        <v>9304</v>
      </c>
      <c r="B6422" s="66" t="s">
        <v>9308</v>
      </c>
      <c r="C6422" s="83">
        <v>0</v>
      </c>
    </row>
    <row r="6423" spans="1:3" ht="31.5" x14ac:dyDescent="0.25">
      <c r="A6423" s="44" t="s">
        <v>10924</v>
      </c>
      <c r="B6423" s="66" t="s">
        <v>9310</v>
      </c>
      <c r="C6423" s="83">
        <v>629</v>
      </c>
    </row>
    <row r="6424" spans="1:3" ht="31.5" x14ac:dyDescent="0.25">
      <c r="A6424" s="44" t="s">
        <v>10925</v>
      </c>
      <c r="B6424" s="66" t="s">
        <v>9312</v>
      </c>
      <c r="C6424" s="83">
        <v>629</v>
      </c>
    </row>
    <row r="6425" spans="1:3" ht="31.5" x14ac:dyDescent="0.25">
      <c r="A6425" s="44" t="s">
        <v>10926</v>
      </c>
      <c r="B6425" s="66" t="s">
        <v>9314</v>
      </c>
      <c r="C6425" s="83">
        <v>629</v>
      </c>
    </row>
    <row r="6426" spans="1:3" x14ac:dyDescent="0.25">
      <c r="A6426" s="194" t="s">
        <v>9315</v>
      </c>
      <c r="B6426" s="147"/>
    </row>
    <row r="6427" spans="1:3" x14ac:dyDescent="0.25">
      <c r="A6427" s="69"/>
      <c r="B6427" s="147"/>
    </row>
    <row r="6428" spans="1:3" ht="18" x14ac:dyDescent="0.25">
      <c r="A6428" s="223"/>
      <c r="B6428" s="219" t="s">
        <v>9316</v>
      </c>
      <c r="C6428" s="233"/>
    </row>
    <row r="6429" spans="1:3" x14ac:dyDescent="0.25">
      <c r="A6429" s="127" t="s">
        <v>10886</v>
      </c>
      <c r="B6429" s="4" t="s">
        <v>9318</v>
      </c>
      <c r="C6429" s="83">
        <v>279</v>
      </c>
    </row>
    <row r="6430" spans="1:3" x14ac:dyDescent="0.25">
      <c r="A6430" s="156"/>
      <c r="B6430" s="147"/>
    </row>
    <row r="6431" spans="1:3" x14ac:dyDescent="0.25">
      <c r="A6431" s="156"/>
      <c r="B6431" s="235" t="s">
        <v>10927</v>
      </c>
    </row>
    <row r="6432" spans="1:3" ht="18" x14ac:dyDescent="0.25">
      <c r="A6432" s="223"/>
      <c r="B6432" s="219" t="s">
        <v>9320</v>
      </c>
      <c r="C6432" s="233"/>
    </row>
    <row r="6433" spans="1:3" ht="47.25" x14ac:dyDescent="0.25">
      <c r="A6433" s="127" t="s">
        <v>10928</v>
      </c>
      <c r="B6433" s="4" t="s">
        <v>9322</v>
      </c>
      <c r="C6433" s="83">
        <v>679</v>
      </c>
    </row>
    <row r="6434" spans="1:3" ht="47.25" x14ac:dyDescent="0.25">
      <c r="A6434" s="127" t="s">
        <v>10929</v>
      </c>
      <c r="B6434" s="4" t="s">
        <v>9324</v>
      </c>
      <c r="C6434" s="83">
        <v>699</v>
      </c>
    </row>
    <row r="6435" spans="1:3" ht="47.25" x14ac:dyDescent="0.25">
      <c r="A6435" s="127" t="s">
        <v>10930</v>
      </c>
      <c r="B6435" s="4" t="s">
        <v>9326</v>
      </c>
      <c r="C6435" s="83">
        <v>699</v>
      </c>
    </row>
    <row r="6436" spans="1:3" x14ac:dyDescent="0.25">
      <c r="A6436" s="156"/>
      <c r="B6436" s="147"/>
    </row>
    <row r="6437" spans="1:3" x14ac:dyDescent="0.25">
      <c r="A6437" s="156"/>
      <c r="B6437" s="235" t="s">
        <v>10931</v>
      </c>
    </row>
    <row r="6438" spans="1:3" ht="18" x14ac:dyDescent="0.25">
      <c r="A6438" s="223"/>
      <c r="B6438" s="219" t="s">
        <v>9328</v>
      </c>
      <c r="C6438" s="233"/>
    </row>
    <row r="6439" spans="1:3" ht="63" x14ac:dyDescent="0.25">
      <c r="A6439" s="127" t="s">
        <v>10932</v>
      </c>
      <c r="B6439" s="148" t="s">
        <v>9330</v>
      </c>
      <c r="C6439" s="83">
        <v>889</v>
      </c>
    </row>
    <row r="6440" spans="1:3" ht="31.5" x14ac:dyDescent="0.25">
      <c r="A6440" s="127" t="s">
        <v>10933</v>
      </c>
      <c r="B6440" s="4" t="s">
        <v>9937</v>
      </c>
      <c r="C6440" s="83">
        <v>459</v>
      </c>
    </row>
    <row r="6441" spans="1:3" ht="63" x14ac:dyDescent="0.25">
      <c r="A6441" s="127" t="s">
        <v>10934</v>
      </c>
      <c r="B6441" s="148" t="s">
        <v>9336</v>
      </c>
      <c r="C6441" s="83">
        <v>929</v>
      </c>
    </row>
    <row r="6442" spans="1:3" ht="63" x14ac:dyDescent="0.25">
      <c r="A6442" s="127" t="s">
        <v>10935</v>
      </c>
      <c r="B6442" s="148" t="s">
        <v>9334</v>
      </c>
      <c r="C6442" s="83">
        <v>929</v>
      </c>
    </row>
    <row r="6443" spans="1:3" x14ac:dyDescent="0.25">
      <c r="A6443" s="156"/>
      <c r="B6443" s="147"/>
    </row>
    <row r="6444" spans="1:3" x14ac:dyDescent="0.25">
      <c r="A6444" s="156"/>
      <c r="B6444" s="235" t="s">
        <v>10936</v>
      </c>
    </row>
    <row r="6445" spans="1:3" ht="18" x14ac:dyDescent="0.25">
      <c r="A6445" s="223"/>
      <c r="B6445" s="219" t="s">
        <v>9347</v>
      </c>
      <c r="C6445" s="233"/>
    </row>
    <row r="6446" spans="1:3" ht="78.75" x14ac:dyDescent="0.25">
      <c r="A6446" s="127" t="s">
        <v>10937</v>
      </c>
      <c r="B6446" s="4" t="s">
        <v>10938</v>
      </c>
      <c r="C6446" s="83">
        <v>359</v>
      </c>
    </row>
    <row r="6447" spans="1:3" ht="78.75" x14ac:dyDescent="0.25">
      <c r="A6447" s="127" t="s">
        <v>10939</v>
      </c>
      <c r="B6447" s="4" t="s">
        <v>10940</v>
      </c>
      <c r="C6447" s="83">
        <v>409</v>
      </c>
    </row>
    <row r="6448" spans="1:3" ht="94.5" x14ac:dyDescent="0.25">
      <c r="A6448" s="127" t="s">
        <v>1000</v>
      </c>
      <c r="B6448" s="4" t="s">
        <v>10941</v>
      </c>
      <c r="C6448" s="83">
        <v>329</v>
      </c>
    </row>
    <row r="6449" spans="1:3" ht="94.5" x14ac:dyDescent="0.25">
      <c r="A6449" s="127" t="s">
        <v>10942</v>
      </c>
      <c r="B6449" s="4" t="s">
        <v>10943</v>
      </c>
      <c r="C6449" s="83">
        <v>329</v>
      </c>
    </row>
    <row r="6450" spans="1:3" x14ac:dyDescent="0.25">
      <c r="A6450" s="128"/>
      <c r="B6450" s="73"/>
    </row>
    <row r="6451" spans="1:3" ht="18" x14ac:dyDescent="0.25">
      <c r="A6451" s="225"/>
      <c r="B6451" s="219" t="s">
        <v>9355</v>
      </c>
      <c r="C6451" s="233"/>
    </row>
    <row r="6452" spans="1:3" ht="94.5" x14ac:dyDescent="0.25">
      <c r="A6452" s="127" t="s">
        <v>10944</v>
      </c>
      <c r="B6452" s="4" t="s">
        <v>10945</v>
      </c>
      <c r="C6452" s="83">
        <v>489</v>
      </c>
    </row>
    <row r="6453" spans="1:3" x14ac:dyDescent="0.25">
      <c r="A6453" s="156"/>
      <c r="B6453" s="147"/>
    </row>
    <row r="6454" spans="1:3" ht="18" x14ac:dyDescent="0.25">
      <c r="A6454" s="223"/>
      <c r="B6454" s="219" t="s">
        <v>9366</v>
      </c>
      <c r="C6454" s="233"/>
    </row>
    <row r="6455" spans="1:3" ht="47.25" x14ac:dyDescent="0.25">
      <c r="A6455" s="127" t="s">
        <v>1006</v>
      </c>
      <c r="B6455" s="4" t="s">
        <v>10380</v>
      </c>
      <c r="C6455" s="83">
        <v>339</v>
      </c>
    </row>
    <row r="6456" spans="1:3" x14ac:dyDescent="0.25">
      <c r="A6456" s="156"/>
      <c r="B6456" s="147"/>
    </row>
    <row r="6457" spans="1:3" ht="18" x14ac:dyDescent="0.25">
      <c r="A6457" s="223"/>
      <c r="B6457" s="237" t="s">
        <v>9369</v>
      </c>
      <c r="C6457" s="233"/>
    </row>
    <row r="6458" spans="1:3" ht="18" x14ac:dyDescent="0.25">
      <c r="A6458" s="223"/>
      <c r="B6458" s="237" t="s">
        <v>10946</v>
      </c>
      <c r="C6458" s="233"/>
    </row>
    <row r="6459" spans="1:3" ht="18" x14ac:dyDescent="0.25">
      <c r="A6459" s="223"/>
      <c r="B6459" s="243" t="s">
        <v>9372</v>
      </c>
      <c r="C6459" s="233"/>
    </row>
    <row r="6460" spans="1:3" ht="78.75" x14ac:dyDescent="0.25">
      <c r="A6460" s="125" t="s">
        <v>10947</v>
      </c>
      <c r="B6460" s="148" t="s">
        <v>9374</v>
      </c>
      <c r="C6460" s="83">
        <v>3899</v>
      </c>
    </row>
    <row r="6461" spans="1:3" ht="110.25" x14ac:dyDescent="0.25">
      <c r="A6461" s="125" t="s">
        <v>10948</v>
      </c>
      <c r="B6461" s="148" t="s">
        <v>9376</v>
      </c>
      <c r="C6461" s="83">
        <v>3899</v>
      </c>
    </row>
    <row r="6462" spans="1:3" x14ac:dyDescent="0.25">
      <c r="A6462" s="156"/>
      <c r="B6462" s="147"/>
    </row>
    <row r="6463" spans="1:3" ht="36" x14ac:dyDescent="0.25">
      <c r="A6463" s="223"/>
      <c r="B6463" s="219" t="s">
        <v>9388</v>
      </c>
      <c r="C6463" s="233"/>
    </row>
    <row r="6464" spans="1:3" ht="31.5" x14ac:dyDescent="0.25">
      <c r="A6464" s="22" t="s">
        <v>10949</v>
      </c>
      <c r="B6464" s="4" t="s">
        <v>9390</v>
      </c>
      <c r="C6464" s="83">
        <v>289</v>
      </c>
    </row>
    <row r="6465" spans="1:3" x14ac:dyDescent="0.25">
      <c r="A6465" s="156"/>
      <c r="B6465" s="147"/>
    </row>
    <row r="6466" spans="1:3" ht="18" x14ac:dyDescent="0.25">
      <c r="A6466" s="223"/>
      <c r="B6466" s="228" t="s">
        <v>10009</v>
      </c>
      <c r="C6466" s="233"/>
    </row>
    <row r="6467" spans="1:3" ht="110.25" x14ac:dyDescent="0.25">
      <c r="A6467" s="22" t="s">
        <v>10950</v>
      </c>
      <c r="B6467" s="4" t="s">
        <v>15592</v>
      </c>
      <c r="C6467" s="83">
        <v>89</v>
      </c>
    </row>
    <row r="6468" spans="1:3" ht="110.25" x14ac:dyDescent="0.25">
      <c r="A6468" s="22" t="s">
        <v>10951</v>
      </c>
      <c r="B6468" s="4" t="s">
        <v>15593</v>
      </c>
      <c r="C6468" s="83">
        <v>89</v>
      </c>
    </row>
    <row r="6469" spans="1:3" x14ac:dyDescent="0.25">
      <c r="A6469" s="140"/>
      <c r="B6469" s="157"/>
    </row>
    <row r="6470" spans="1:3" ht="36" x14ac:dyDescent="0.25">
      <c r="A6470" s="258"/>
      <c r="B6470" s="228" t="s">
        <v>15814</v>
      </c>
      <c r="C6470" s="233"/>
    </row>
    <row r="6471" spans="1:3" ht="94.5" x14ac:dyDescent="0.25">
      <c r="A6471" s="22" t="s">
        <v>10952</v>
      </c>
      <c r="B6471" s="137" t="s">
        <v>15594</v>
      </c>
      <c r="C6471" s="83">
        <v>469</v>
      </c>
    </row>
    <row r="6472" spans="1:3" ht="94.5" x14ac:dyDescent="0.25">
      <c r="A6472" s="22" t="s">
        <v>10953</v>
      </c>
      <c r="B6472" s="137" t="s">
        <v>15595</v>
      </c>
      <c r="C6472" s="83">
        <v>469</v>
      </c>
    </row>
    <row r="6473" spans="1:3" ht="94.5" x14ac:dyDescent="0.25">
      <c r="A6473" s="22" t="s">
        <v>10954</v>
      </c>
      <c r="B6473" s="137" t="s">
        <v>15596</v>
      </c>
      <c r="C6473" s="83">
        <v>699</v>
      </c>
    </row>
    <row r="6474" spans="1:3" ht="94.5" x14ac:dyDescent="0.25">
      <c r="A6474" s="22" t="s">
        <v>10955</v>
      </c>
      <c r="B6474" s="137" t="s">
        <v>15597</v>
      </c>
      <c r="C6474" s="83">
        <v>699</v>
      </c>
    </row>
    <row r="6475" spans="1:3" x14ac:dyDescent="0.25">
      <c r="A6475" s="156"/>
      <c r="B6475" s="147"/>
    </row>
    <row r="6476" spans="1:3" ht="18" x14ac:dyDescent="0.25">
      <c r="A6476" s="223"/>
      <c r="B6476" s="219" t="s">
        <v>9674</v>
      </c>
      <c r="C6476" s="233"/>
    </row>
    <row r="6477" spans="1:3" ht="18" x14ac:dyDescent="0.25">
      <c r="A6477" s="223"/>
      <c r="B6477" s="219" t="s">
        <v>9421</v>
      </c>
      <c r="C6477" s="233"/>
    </row>
    <row r="6478" spans="1:3" ht="47.25" x14ac:dyDescent="0.25">
      <c r="A6478" s="22" t="s">
        <v>8306</v>
      </c>
      <c r="B6478" s="4" t="s">
        <v>9423</v>
      </c>
      <c r="C6478" s="83">
        <v>1099</v>
      </c>
    </row>
    <row r="6479" spans="1:3" ht="47.25" x14ac:dyDescent="0.25">
      <c r="A6479" s="22" t="s">
        <v>10956</v>
      </c>
      <c r="B6479" s="24" t="s">
        <v>10957</v>
      </c>
      <c r="C6479" s="83">
        <v>1839</v>
      </c>
    </row>
    <row r="6480" spans="1:3" x14ac:dyDescent="0.25">
      <c r="A6480" s="156"/>
      <c r="B6480" s="147"/>
    </row>
    <row r="6481" spans="1:3" ht="18" x14ac:dyDescent="0.25">
      <c r="A6481" s="223"/>
      <c r="B6481" s="219" t="s">
        <v>10958</v>
      </c>
      <c r="C6481" s="233"/>
    </row>
    <row r="6482" spans="1:3" ht="18" x14ac:dyDescent="0.25">
      <c r="A6482" s="223"/>
      <c r="B6482" s="219" t="s">
        <v>10959</v>
      </c>
      <c r="C6482" s="233"/>
    </row>
    <row r="6483" spans="1:3" ht="94.5" x14ac:dyDescent="0.25">
      <c r="A6483" s="22" t="s">
        <v>10960</v>
      </c>
      <c r="B6483" s="4" t="s">
        <v>10418</v>
      </c>
      <c r="C6483" s="83">
        <v>1759</v>
      </c>
    </row>
    <row r="6484" spans="1:3" ht="94.5" x14ac:dyDescent="0.25">
      <c r="A6484" s="22" t="s">
        <v>8308</v>
      </c>
      <c r="B6484" s="4" t="s">
        <v>10416</v>
      </c>
      <c r="C6484" s="83">
        <v>1749</v>
      </c>
    </row>
    <row r="6485" spans="1:3" x14ac:dyDescent="0.25">
      <c r="A6485" s="156"/>
      <c r="B6485" s="147"/>
    </row>
    <row r="6486" spans="1:3" ht="18" x14ac:dyDescent="0.25">
      <c r="A6486" s="223"/>
      <c r="B6486" s="219" t="s">
        <v>10413</v>
      </c>
      <c r="C6486" s="233"/>
    </row>
    <row r="6487" spans="1:3" ht="18" x14ac:dyDescent="0.25">
      <c r="A6487" s="223"/>
      <c r="B6487" s="219" t="s">
        <v>10427</v>
      </c>
      <c r="C6487" s="233"/>
    </row>
    <row r="6488" spans="1:3" ht="94.5" x14ac:dyDescent="0.25">
      <c r="A6488" s="22" t="s">
        <v>10961</v>
      </c>
      <c r="B6488" s="4" t="s">
        <v>10422</v>
      </c>
      <c r="C6488" s="83">
        <v>2509</v>
      </c>
    </row>
    <row r="6489" spans="1:3" ht="94.5" x14ac:dyDescent="0.25">
      <c r="A6489" s="22" t="s">
        <v>10962</v>
      </c>
      <c r="B6489" s="4" t="s">
        <v>10963</v>
      </c>
      <c r="C6489" s="83">
        <v>2499</v>
      </c>
    </row>
    <row r="6490" spans="1:3" x14ac:dyDescent="0.25">
      <c r="A6490" s="156"/>
      <c r="B6490" s="147"/>
    </row>
    <row r="6491" spans="1:3" ht="18" x14ac:dyDescent="0.25">
      <c r="A6491" s="223"/>
      <c r="B6491" s="219" t="s">
        <v>10964</v>
      </c>
      <c r="C6491" s="233"/>
    </row>
    <row r="6492" spans="1:3" ht="31.5" x14ac:dyDescent="0.25">
      <c r="A6492" s="22" t="s">
        <v>10965</v>
      </c>
      <c r="B6492" s="4" t="s">
        <v>9454</v>
      </c>
      <c r="C6492" s="83">
        <v>289</v>
      </c>
    </row>
    <row r="6493" spans="1:3" ht="31.5" x14ac:dyDescent="0.25">
      <c r="A6493" s="22" t="s">
        <v>9455</v>
      </c>
      <c r="B6493" s="4" t="s">
        <v>9456</v>
      </c>
      <c r="C6493" s="83">
        <v>35.99</v>
      </c>
    </row>
    <row r="6494" spans="1:3" x14ac:dyDescent="0.25">
      <c r="A6494" s="156"/>
      <c r="B6494" s="147"/>
    </row>
    <row r="6495" spans="1:3" ht="18" x14ac:dyDescent="0.25">
      <c r="A6495" s="223"/>
      <c r="B6495" s="219" t="s">
        <v>9457</v>
      </c>
      <c r="C6495" s="233"/>
    </row>
    <row r="6496" spans="1:3" ht="18" x14ac:dyDescent="0.25">
      <c r="A6496" s="210" t="s">
        <v>9459</v>
      </c>
      <c r="B6496" s="219" t="s">
        <v>10966</v>
      </c>
      <c r="C6496" s="233"/>
    </row>
    <row r="6497" spans="1:3" ht="47.25" x14ac:dyDescent="0.25">
      <c r="A6497" s="127" t="s">
        <v>10967</v>
      </c>
      <c r="B6497" s="4" t="s">
        <v>9462</v>
      </c>
      <c r="C6497" s="83">
        <v>1259</v>
      </c>
    </row>
    <row r="6498" spans="1:3" ht="47.25" x14ac:dyDescent="0.25">
      <c r="A6498" s="127" t="s">
        <v>10968</v>
      </c>
      <c r="B6498" s="4" t="s">
        <v>9464</v>
      </c>
      <c r="C6498" s="83">
        <v>1479</v>
      </c>
    </row>
    <row r="6499" spans="1:3" ht="47.25" x14ac:dyDescent="0.25">
      <c r="A6499" s="127" t="s">
        <v>10969</v>
      </c>
      <c r="B6499" s="4" t="s">
        <v>9466</v>
      </c>
      <c r="C6499" s="83">
        <v>1479</v>
      </c>
    </row>
    <row r="6500" spans="1:3" ht="47.25" x14ac:dyDescent="0.25">
      <c r="A6500" s="127" t="s">
        <v>10970</v>
      </c>
      <c r="B6500" s="4" t="s">
        <v>9468</v>
      </c>
      <c r="C6500" s="83">
        <v>1799</v>
      </c>
    </row>
    <row r="6501" spans="1:3" ht="18" x14ac:dyDescent="0.25">
      <c r="A6501" s="210" t="s">
        <v>9469</v>
      </c>
      <c r="B6501" s="259"/>
      <c r="C6501" s="233"/>
    </row>
    <row r="6502" spans="1:3" ht="47.25" x14ac:dyDescent="0.25">
      <c r="A6502" s="127" t="s">
        <v>10971</v>
      </c>
      <c r="B6502" s="4" t="s">
        <v>9471</v>
      </c>
      <c r="C6502" s="83">
        <v>1359</v>
      </c>
    </row>
    <row r="6503" spans="1:3" ht="47.25" x14ac:dyDescent="0.25">
      <c r="A6503" s="127" t="s">
        <v>10972</v>
      </c>
      <c r="B6503" s="4" t="s">
        <v>9473</v>
      </c>
      <c r="C6503" s="83">
        <v>1579</v>
      </c>
    </row>
    <row r="6504" spans="1:3" ht="47.25" x14ac:dyDescent="0.25">
      <c r="A6504" s="127" t="s">
        <v>10973</v>
      </c>
      <c r="B6504" s="4" t="s">
        <v>9475</v>
      </c>
      <c r="C6504" s="83">
        <v>1579</v>
      </c>
    </row>
    <row r="6505" spans="1:3" ht="47.25" x14ac:dyDescent="0.25">
      <c r="A6505" s="127" t="s">
        <v>10974</v>
      </c>
      <c r="B6505" s="4" t="s">
        <v>10447</v>
      </c>
      <c r="C6505" s="83">
        <v>1899</v>
      </c>
    </row>
    <row r="6506" spans="1:3" ht="47.25" x14ac:dyDescent="0.25">
      <c r="A6506" s="127" t="s">
        <v>10975</v>
      </c>
      <c r="B6506" s="4" t="s">
        <v>9479</v>
      </c>
      <c r="C6506" s="83">
        <v>1799</v>
      </c>
    </row>
    <row r="6507" spans="1:3" ht="18" x14ac:dyDescent="0.25">
      <c r="A6507" s="210" t="s">
        <v>9480</v>
      </c>
      <c r="B6507" s="259"/>
      <c r="C6507" s="233"/>
    </row>
    <row r="6508" spans="1:3" ht="47.25" x14ac:dyDescent="0.25">
      <c r="A6508" s="127" t="s">
        <v>10976</v>
      </c>
      <c r="B6508" s="4" t="s">
        <v>9482</v>
      </c>
      <c r="C6508" s="83">
        <v>1879</v>
      </c>
    </row>
    <row r="6509" spans="1:3" ht="47.25" x14ac:dyDescent="0.25">
      <c r="A6509" s="127" t="s">
        <v>10977</v>
      </c>
      <c r="B6509" s="4" t="s">
        <v>9484</v>
      </c>
      <c r="C6509" s="83">
        <v>2099</v>
      </c>
    </row>
    <row r="6510" spans="1:3" ht="47.25" x14ac:dyDescent="0.25">
      <c r="A6510" s="127" t="s">
        <v>10978</v>
      </c>
      <c r="B6510" s="4" t="s">
        <v>9486</v>
      </c>
      <c r="C6510" s="83">
        <v>2099</v>
      </c>
    </row>
    <row r="6511" spans="1:3" ht="47.25" x14ac:dyDescent="0.25">
      <c r="A6511" s="127" t="s">
        <v>10979</v>
      </c>
      <c r="B6511" s="4" t="s">
        <v>9488</v>
      </c>
      <c r="C6511" s="83">
        <v>1879</v>
      </c>
    </row>
    <row r="6512" spans="1:3" ht="47.25" x14ac:dyDescent="0.25">
      <c r="A6512" s="127" t="s">
        <v>10980</v>
      </c>
      <c r="B6512" s="4" t="s">
        <v>9490</v>
      </c>
      <c r="C6512" s="83">
        <v>2099</v>
      </c>
    </row>
    <row r="6513" spans="1:3" ht="47.25" x14ac:dyDescent="0.25">
      <c r="A6513" s="127" t="s">
        <v>10981</v>
      </c>
      <c r="B6513" s="4" t="s">
        <v>9492</v>
      </c>
      <c r="C6513" s="83">
        <v>2099</v>
      </c>
    </row>
    <row r="6514" spans="1:3" ht="47.25" x14ac:dyDescent="0.25">
      <c r="A6514" s="127" t="s">
        <v>10982</v>
      </c>
      <c r="B6514" s="4" t="s">
        <v>9494</v>
      </c>
      <c r="C6514" s="83">
        <v>2059</v>
      </c>
    </row>
    <row r="6515" spans="1:3" ht="47.25" x14ac:dyDescent="0.25">
      <c r="A6515" s="127" t="s">
        <v>10983</v>
      </c>
      <c r="B6515" s="4" t="s">
        <v>9496</v>
      </c>
      <c r="C6515" s="83">
        <v>2039</v>
      </c>
    </row>
    <row r="6516" spans="1:3" ht="18" x14ac:dyDescent="0.25">
      <c r="A6516" s="210" t="s">
        <v>9497</v>
      </c>
      <c r="B6516" s="259"/>
      <c r="C6516" s="233"/>
    </row>
    <row r="6517" spans="1:3" ht="47.25" x14ac:dyDescent="0.25">
      <c r="A6517" s="127" t="s">
        <v>10984</v>
      </c>
      <c r="B6517" s="4" t="s">
        <v>9499</v>
      </c>
      <c r="C6517" s="83">
        <v>1879</v>
      </c>
    </row>
    <row r="6518" spans="1:3" ht="47.25" x14ac:dyDescent="0.25">
      <c r="A6518" s="127" t="s">
        <v>10985</v>
      </c>
      <c r="B6518" s="4" t="s">
        <v>9501</v>
      </c>
      <c r="C6518" s="83">
        <v>2099</v>
      </c>
    </row>
    <row r="6519" spans="1:3" ht="47.25" x14ac:dyDescent="0.25">
      <c r="A6519" s="127" t="s">
        <v>10986</v>
      </c>
      <c r="B6519" s="4" t="s">
        <v>9503</v>
      </c>
      <c r="C6519" s="83">
        <v>2099</v>
      </c>
    </row>
    <row r="6520" spans="1:3" ht="47.25" x14ac:dyDescent="0.25">
      <c r="A6520" s="127" t="s">
        <v>10987</v>
      </c>
      <c r="B6520" s="4" t="s">
        <v>9505</v>
      </c>
      <c r="C6520" s="83">
        <v>1879</v>
      </c>
    </row>
    <row r="6521" spans="1:3" ht="47.25" x14ac:dyDescent="0.25">
      <c r="A6521" s="127" t="s">
        <v>10988</v>
      </c>
      <c r="B6521" s="4" t="s">
        <v>9507</v>
      </c>
      <c r="C6521" s="83">
        <v>2099</v>
      </c>
    </row>
    <row r="6522" spans="1:3" ht="47.25" x14ac:dyDescent="0.25">
      <c r="A6522" s="127" t="s">
        <v>10989</v>
      </c>
      <c r="B6522" s="4" t="s">
        <v>9509</v>
      </c>
      <c r="C6522" s="83">
        <v>2099</v>
      </c>
    </row>
    <row r="6523" spans="1:3" ht="47.25" x14ac:dyDescent="0.25">
      <c r="A6523" s="127" t="s">
        <v>10990</v>
      </c>
      <c r="B6523" s="4" t="s">
        <v>9511</v>
      </c>
      <c r="C6523" s="83">
        <v>2059</v>
      </c>
    </row>
    <row r="6524" spans="1:3" ht="47.25" x14ac:dyDescent="0.25">
      <c r="A6524" s="127" t="s">
        <v>10991</v>
      </c>
      <c r="B6524" s="4" t="s">
        <v>9513</v>
      </c>
      <c r="C6524" s="83">
        <v>2039</v>
      </c>
    </row>
    <row r="6525" spans="1:3" x14ac:dyDescent="0.25">
      <c r="A6525" s="260" t="s">
        <v>9549</v>
      </c>
      <c r="B6525" s="256"/>
      <c r="C6525" s="82"/>
    </row>
    <row r="6526" spans="1:3" x14ac:dyDescent="0.25">
      <c r="A6526" s="158"/>
      <c r="B6526" s="147"/>
    </row>
    <row r="6527" spans="1:3" ht="18" x14ac:dyDescent="0.25">
      <c r="A6527" s="223"/>
      <c r="B6527" s="219" t="s">
        <v>10992</v>
      </c>
      <c r="C6527" s="233"/>
    </row>
    <row r="6528" spans="1:3" ht="31.5" x14ac:dyDescent="0.25">
      <c r="A6528" s="127" t="s">
        <v>10993</v>
      </c>
      <c r="B6528" s="4" t="s">
        <v>10994</v>
      </c>
      <c r="C6528" s="83">
        <v>719</v>
      </c>
    </row>
    <row r="6529" spans="1:3" x14ac:dyDescent="0.25">
      <c r="A6529" s="156"/>
      <c r="B6529" s="147"/>
    </row>
    <row r="6530" spans="1:3" ht="36" x14ac:dyDescent="0.25">
      <c r="A6530" s="261"/>
      <c r="B6530" s="262" t="s">
        <v>9550</v>
      </c>
      <c r="C6530" s="263"/>
    </row>
    <row r="6531" spans="1:3" ht="31.5" x14ac:dyDescent="0.25">
      <c r="A6531" s="127" t="s">
        <v>9551</v>
      </c>
      <c r="B6531" s="4" t="s">
        <v>9552</v>
      </c>
      <c r="C6531" s="83">
        <v>389.99</v>
      </c>
    </row>
    <row r="6532" spans="1:3" ht="47.25" x14ac:dyDescent="0.25">
      <c r="A6532" s="127" t="s">
        <v>9553</v>
      </c>
      <c r="B6532" s="4" t="s">
        <v>9554</v>
      </c>
      <c r="C6532" s="83">
        <v>479</v>
      </c>
    </row>
    <row r="6533" spans="1:3" ht="47.25" x14ac:dyDescent="0.25">
      <c r="A6533" s="127" t="s">
        <v>9555</v>
      </c>
      <c r="B6533" s="4" t="s">
        <v>9556</v>
      </c>
      <c r="C6533" s="83">
        <v>479</v>
      </c>
    </row>
    <row r="6534" spans="1:3" x14ac:dyDescent="0.25">
      <c r="A6534" s="128"/>
      <c r="B6534" s="73"/>
    </row>
    <row r="6535" spans="1:3" ht="18" x14ac:dyDescent="0.25">
      <c r="A6535" s="225"/>
      <c r="B6535" s="219" t="s">
        <v>10995</v>
      </c>
      <c r="C6535" s="233"/>
    </row>
    <row r="6536" spans="1:3" ht="78.75" x14ac:dyDescent="0.25">
      <c r="A6536" s="132" t="s">
        <v>10996</v>
      </c>
      <c r="B6536" s="66" t="s">
        <v>10997</v>
      </c>
      <c r="C6536" s="83">
        <v>1209</v>
      </c>
    </row>
    <row r="6537" spans="1:3" x14ac:dyDescent="0.25">
      <c r="A6537" s="138"/>
      <c r="B6537" s="147"/>
    </row>
    <row r="6538" spans="1:3" ht="18" x14ac:dyDescent="0.25">
      <c r="A6538" s="223"/>
      <c r="B6538" s="219" t="s">
        <v>10471</v>
      </c>
      <c r="C6538" s="233"/>
    </row>
    <row r="6539" spans="1:3" x14ac:dyDescent="0.25">
      <c r="A6539" s="127" t="s">
        <v>10998</v>
      </c>
      <c r="B6539" s="4" t="s">
        <v>10999</v>
      </c>
      <c r="C6539" s="83">
        <v>779</v>
      </c>
    </row>
    <row r="6540" spans="1:3" ht="31.5" x14ac:dyDescent="0.25">
      <c r="A6540" s="127" t="s">
        <v>11000</v>
      </c>
      <c r="B6540" s="4" t="s">
        <v>11001</v>
      </c>
      <c r="C6540" s="83">
        <v>1079</v>
      </c>
    </row>
    <row r="6541" spans="1:3" ht="31.5" x14ac:dyDescent="0.25">
      <c r="A6541" s="127" t="s">
        <v>11002</v>
      </c>
      <c r="B6541" s="148" t="s">
        <v>10466</v>
      </c>
      <c r="C6541" s="83">
        <v>2969</v>
      </c>
    </row>
    <row r="6542" spans="1:3" ht="47.25" x14ac:dyDescent="0.25">
      <c r="A6542" s="132" t="s">
        <v>11003</v>
      </c>
      <c r="B6542" s="137" t="s">
        <v>9570</v>
      </c>
      <c r="C6542" s="83">
        <v>1539</v>
      </c>
    </row>
    <row r="6543" spans="1:3" x14ac:dyDescent="0.25">
      <c r="A6543" s="156"/>
      <c r="B6543" s="147"/>
    </row>
    <row r="6544" spans="1:3" ht="18" x14ac:dyDescent="0.25">
      <c r="A6544" s="223"/>
      <c r="B6544" s="237" t="s">
        <v>9557</v>
      </c>
      <c r="C6544" s="233"/>
    </row>
    <row r="6545" spans="1:3" x14ac:dyDescent="0.25">
      <c r="A6545" s="127" t="s">
        <v>11004</v>
      </c>
      <c r="B6545" s="4" t="s">
        <v>9848</v>
      </c>
      <c r="C6545" s="83">
        <v>179</v>
      </c>
    </row>
    <row r="6546" spans="1:3" x14ac:dyDescent="0.25">
      <c r="B6546" s="133"/>
      <c r="C6546" s="91"/>
    </row>
    <row r="6547" spans="1:3" ht="36" x14ac:dyDescent="0.25">
      <c r="A6547" s="225" t="s">
        <v>9122</v>
      </c>
      <c r="B6547" s="228" t="s">
        <v>9849</v>
      </c>
      <c r="C6547" s="229"/>
    </row>
    <row r="6548" spans="1:3" ht="94.5" x14ac:dyDescent="0.25">
      <c r="A6548" s="127" t="s">
        <v>11005</v>
      </c>
      <c r="B6548" s="4" t="s">
        <v>11006</v>
      </c>
      <c r="C6548" s="83">
        <v>839</v>
      </c>
    </row>
    <row r="6549" spans="1:3" ht="94.5" x14ac:dyDescent="0.25">
      <c r="A6549" s="127" t="s">
        <v>11007</v>
      </c>
      <c r="B6549" s="4" t="s">
        <v>11008</v>
      </c>
      <c r="C6549" s="83">
        <v>799</v>
      </c>
    </row>
    <row r="6550" spans="1:3" ht="94.5" x14ac:dyDescent="0.25">
      <c r="A6550" s="127" t="s">
        <v>11009</v>
      </c>
      <c r="B6550" s="4" t="s">
        <v>11010</v>
      </c>
      <c r="C6550" s="83">
        <v>899</v>
      </c>
    </row>
    <row r="6551" spans="1:3" ht="94.5" x14ac:dyDescent="0.25">
      <c r="A6551" s="127" t="s">
        <v>11011</v>
      </c>
      <c r="B6551" s="4" t="s">
        <v>11012</v>
      </c>
      <c r="C6551" s="83">
        <v>819</v>
      </c>
    </row>
    <row r="6552" spans="1:3" ht="94.5" x14ac:dyDescent="0.25">
      <c r="A6552" s="127" t="s">
        <v>11013</v>
      </c>
      <c r="B6552" s="4" t="s">
        <v>11014</v>
      </c>
      <c r="C6552" s="83">
        <v>859</v>
      </c>
    </row>
    <row r="6553" spans="1:3" ht="94.5" x14ac:dyDescent="0.25">
      <c r="A6553" s="127" t="s">
        <v>11015</v>
      </c>
      <c r="B6553" s="4" t="s">
        <v>11016</v>
      </c>
      <c r="C6553" s="83">
        <v>819</v>
      </c>
    </row>
    <row r="6554" spans="1:3" ht="18" x14ac:dyDescent="0.25">
      <c r="A6554" s="225" t="s">
        <v>9136</v>
      </c>
      <c r="B6554" s="238"/>
      <c r="C6554" s="233"/>
    </row>
    <row r="6555" spans="1:3" ht="94.5" x14ac:dyDescent="0.25">
      <c r="A6555" s="127" t="s">
        <v>11017</v>
      </c>
      <c r="B6555" s="4" t="s">
        <v>11018</v>
      </c>
      <c r="C6555" s="83">
        <v>959</v>
      </c>
    </row>
    <row r="6556" spans="1:3" ht="94.5" x14ac:dyDescent="0.25">
      <c r="A6556" s="127" t="s">
        <v>11019</v>
      </c>
      <c r="B6556" s="4" t="s">
        <v>11020</v>
      </c>
      <c r="C6556" s="83">
        <v>919</v>
      </c>
    </row>
    <row r="6557" spans="1:3" ht="110.25" x14ac:dyDescent="0.25">
      <c r="A6557" s="127" t="s">
        <v>11021</v>
      </c>
      <c r="B6557" s="4" t="s">
        <v>11022</v>
      </c>
      <c r="C6557" s="83">
        <v>1009</v>
      </c>
    </row>
    <row r="6558" spans="1:3" ht="110.25" x14ac:dyDescent="0.25">
      <c r="A6558" s="127" t="s">
        <v>11023</v>
      </c>
      <c r="B6558" s="4" t="s">
        <v>11024</v>
      </c>
      <c r="C6558" s="83">
        <v>969</v>
      </c>
    </row>
    <row r="6559" spans="1:3" ht="110.25" x14ac:dyDescent="0.25">
      <c r="A6559" s="127" t="s">
        <v>11025</v>
      </c>
      <c r="B6559" s="4" t="s">
        <v>11026</v>
      </c>
      <c r="C6559" s="83">
        <v>999</v>
      </c>
    </row>
    <row r="6560" spans="1:3" ht="110.25" x14ac:dyDescent="0.25">
      <c r="A6560" s="127" t="s">
        <v>11027</v>
      </c>
      <c r="B6560" s="4" t="s">
        <v>11028</v>
      </c>
      <c r="C6560" s="83">
        <v>959</v>
      </c>
    </row>
    <row r="6561" spans="1:3" x14ac:dyDescent="0.25">
      <c r="A6561" s="71"/>
      <c r="B6561" s="139"/>
    </row>
    <row r="6562" spans="1:3" ht="31.5" x14ac:dyDescent="0.25">
      <c r="A6562" s="143" t="s">
        <v>9122</v>
      </c>
      <c r="B6562" s="146" t="s">
        <v>9149</v>
      </c>
    </row>
    <row r="6563" spans="1:3" ht="78.75" x14ac:dyDescent="0.25">
      <c r="A6563" s="127" t="s">
        <v>11029</v>
      </c>
      <c r="B6563" s="4" t="s">
        <v>11030</v>
      </c>
      <c r="C6563" s="83">
        <v>999</v>
      </c>
    </row>
    <row r="6564" spans="1:3" ht="78.75" x14ac:dyDescent="0.25">
      <c r="A6564" s="127" t="s">
        <v>11031</v>
      </c>
      <c r="B6564" s="4" t="s">
        <v>11032</v>
      </c>
      <c r="C6564" s="83">
        <v>999</v>
      </c>
    </row>
    <row r="6565" spans="1:3" ht="78.75" x14ac:dyDescent="0.25">
      <c r="A6565" s="127" t="s">
        <v>11033</v>
      </c>
      <c r="B6565" s="4" t="s">
        <v>11034</v>
      </c>
      <c r="C6565" s="83">
        <v>959</v>
      </c>
    </row>
    <row r="6566" spans="1:3" ht="78.75" x14ac:dyDescent="0.25">
      <c r="A6566" s="127" t="s">
        <v>11035</v>
      </c>
      <c r="B6566" s="4" t="s">
        <v>11036</v>
      </c>
      <c r="C6566" s="83">
        <v>959</v>
      </c>
    </row>
    <row r="6567" spans="1:3" ht="78.75" x14ac:dyDescent="0.25">
      <c r="A6567" s="127" t="s">
        <v>11037</v>
      </c>
      <c r="B6567" s="4" t="s">
        <v>11038</v>
      </c>
      <c r="C6567" s="83">
        <v>1049</v>
      </c>
    </row>
    <row r="6568" spans="1:3" ht="78.75" x14ac:dyDescent="0.25">
      <c r="A6568" s="127" t="s">
        <v>11039</v>
      </c>
      <c r="B6568" s="4" t="s">
        <v>11040</v>
      </c>
      <c r="C6568" s="83">
        <v>1049</v>
      </c>
    </row>
    <row r="6569" spans="1:3" ht="78.75" x14ac:dyDescent="0.25">
      <c r="A6569" s="127" t="s">
        <v>11041</v>
      </c>
      <c r="B6569" s="4" t="s">
        <v>11042</v>
      </c>
      <c r="C6569" s="83">
        <v>979</v>
      </c>
    </row>
    <row r="6570" spans="1:3" ht="78.75" x14ac:dyDescent="0.25">
      <c r="A6570" s="127" t="s">
        <v>11043</v>
      </c>
      <c r="B6570" s="4" t="s">
        <v>11044</v>
      </c>
      <c r="C6570" s="83">
        <v>979</v>
      </c>
    </row>
    <row r="6571" spans="1:3" ht="78.75" x14ac:dyDescent="0.25">
      <c r="A6571" s="127" t="s">
        <v>11045</v>
      </c>
      <c r="B6571" s="4" t="s">
        <v>11046</v>
      </c>
      <c r="C6571" s="83">
        <v>1009</v>
      </c>
    </row>
    <row r="6572" spans="1:3" ht="78.75" x14ac:dyDescent="0.25">
      <c r="A6572" s="127" t="s">
        <v>11047</v>
      </c>
      <c r="B6572" s="4" t="s">
        <v>11048</v>
      </c>
      <c r="C6572" s="83">
        <v>1009</v>
      </c>
    </row>
    <row r="6573" spans="1:3" ht="78.75" x14ac:dyDescent="0.25">
      <c r="A6573" s="127" t="s">
        <v>11049</v>
      </c>
      <c r="B6573" s="4" t="s">
        <v>11050</v>
      </c>
      <c r="C6573" s="83">
        <v>969</v>
      </c>
    </row>
    <row r="6574" spans="1:3" ht="78.75" x14ac:dyDescent="0.25">
      <c r="A6574" s="127" t="s">
        <v>11051</v>
      </c>
      <c r="B6574" s="4" t="s">
        <v>11052</v>
      </c>
      <c r="C6574" s="83">
        <v>969</v>
      </c>
    </row>
    <row r="6575" spans="1:3" ht="18" x14ac:dyDescent="0.25">
      <c r="A6575" s="231" t="s">
        <v>9162</v>
      </c>
      <c r="B6575" s="238"/>
      <c r="C6575" s="233"/>
    </row>
    <row r="6576" spans="1:3" ht="78.75" x14ac:dyDescent="0.25">
      <c r="A6576" s="22" t="s">
        <v>11053</v>
      </c>
      <c r="B6576" s="154" t="s">
        <v>11054</v>
      </c>
      <c r="C6576" s="83">
        <v>1099</v>
      </c>
    </row>
    <row r="6577" spans="1:3" ht="78.75" x14ac:dyDescent="0.25">
      <c r="A6577" s="22" t="s">
        <v>11055</v>
      </c>
      <c r="B6577" s="154" t="s">
        <v>11056</v>
      </c>
      <c r="C6577" s="83">
        <v>1099</v>
      </c>
    </row>
    <row r="6578" spans="1:3" ht="78.75" x14ac:dyDescent="0.25">
      <c r="A6578" s="127" t="s">
        <v>11057</v>
      </c>
      <c r="B6578" s="154" t="s">
        <v>11058</v>
      </c>
      <c r="C6578" s="83">
        <v>1059</v>
      </c>
    </row>
    <row r="6579" spans="1:3" ht="78.75" x14ac:dyDescent="0.25">
      <c r="A6579" s="127" t="s">
        <v>11059</v>
      </c>
      <c r="B6579" s="154" t="s">
        <v>11060</v>
      </c>
      <c r="C6579" s="83">
        <v>1059</v>
      </c>
    </row>
    <row r="6580" spans="1:3" ht="94.5" x14ac:dyDescent="0.25">
      <c r="A6580" s="127" t="s">
        <v>11061</v>
      </c>
      <c r="B6580" s="4" t="s">
        <v>11062</v>
      </c>
      <c r="C6580" s="83">
        <v>1149</v>
      </c>
    </row>
    <row r="6581" spans="1:3" ht="94.5" x14ac:dyDescent="0.25">
      <c r="A6581" s="127" t="s">
        <v>11063</v>
      </c>
      <c r="B6581" s="4" t="s">
        <v>11064</v>
      </c>
      <c r="C6581" s="83">
        <v>1149</v>
      </c>
    </row>
    <row r="6582" spans="1:3" ht="94.5" x14ac:dyDescent="0.25">
      <c r="A6582" s="127" t="s">
        <v>11065</v>
      </c>
      <c r="B6582" s="4" t="s">
        <v>11066</v>
      </c>
      <c r="C6582" s="83">
        <v>1109</v>
      </c>
    </row>
    <row r="6583" spans="1:3" ht="94.5" x14ac:dyDescent="0.25">
      <c r="A6583" s="127" t="s">
        <v>11067</v>
      </c>
      <c r="B6583" s="4" t="s">
        <v>11068</v>
      </c>
      <c r="C6583" s="83">
        <v>1109</v>
      </c>
    </row>
    <row r="6584" spans="1:3" ht="94.5" x14ac:dyDescent="0.25">
      <c r="A6584" s="127" t="s">
        <v>11069</v>
      </c>
      <c r="B6584" s="4" t="s">
        <v>11070</v>
      </c>
      <c r="C6584" s="83">
        <v>1139</v>
      </c>
    </row>
    <row r="6585" spans="1:3" ht="94.5" x14ac:dyDescent="0.25">
      <c r="A6585" s="127" t="s">
        <v>11071</v>
      </c>
      <c r="B6585" s="4" t="s">
        <v>11072</v>
      </c>
      <c r="C6585" s="83">
        <v>1139</v>
      </c>
    </row>
    <row r="6586" spans="1:3" ht="94.5" x14ac:dyDescent="0.25">
      <c r="A6586" s="127" t="s">
        <v>11073</v>
      </c>
      <c r="B6586" s="4" t="s">
        <v>11074</v>
      </c>
      <c r="C6586" s="83">
        <v>1099</v>
      </c>
    </row>
    <row r="6587" spans="1:3" ht="94.5" x14ac:dyDescent="0.25">
      <c r="A6587" s="127" t="s">
        <v>11075</v>
      </c>
      <c r="B6587" s="4" t="s">
        <v>11076</v>
      </c>
      <c r="C6587" s="83">
        <v>1099</v>
      </c>
    </row>
    <row r="6588" spans="1:3" x14ac:dyDescent="0.25">
      <c r="A6588" s="194" t="s">
        <v>9199</v>
      </c>
      <c r="B6588" s="139"/>
    </row>
    <row r="6589" spans="1:3" x14ac:dyDescent="0.25">
      <c r="A6589" s="69"/>
      <c r="B6589" s="139"/>
    </row>
    <row r="6590" spans="1:3" ht="54" x14ac:dyDescent="0.25">
      <c r="A6590" s="231" t="s">
        <v>9200</v>
      </c>
      <c r="B6590" s="219" t="s">
        <v>15815</v>
      </c>
      <c r="C6590" s="233"/>
    </row>
    <row r="6591" spans="1:3" ht="94.5" x14ac:dyDescent="0.25">
      <c r="A6591" s="127" t="s">
        <v>11077</v>
      </c>
      <c r="B6591" s="4" t="s">
        <v>11078</v>
      </c>
      <c r="C6591" s="83">
        <v>1279</v>
      </c>
    </row>
    <row r="6592" spans="1:3" ht="94.5" x14ac:dyDescent="0.25">
      <c r="A6592" s="127" t="s">
        <v>11079</v>
      </c>
      <c r="B6592" s="4" t="s">
        <v>11080</v>
      </c>
      <c r="C6592" s="83">
        <v>1279</v>
      </c>
    </row>
    <row r="6593" spans="1:3" ht="94.5" x14ac:dyDescent="0.25">
      <c r="A6593" s="127" t="s">
        <v>11081</v>
      </c>
      <c r="B6593" s="4" t="s">
        <v>11082</v>
      </c>
      <c r="C6593" s="83">
        <v>1279</v>
      </c>
    </row>
    <row r="6594" spans="1:3" ht="94.5" x14ac:dyDescent="0.25">
      <c r="A6594" s="127" t="s">
        <v>11083</v>
      </c>
      <c r="B6594" s="4" t="s">
        <v>11084</v>
      </c>
      <c r="C6594" s="83">
        <v>1279</v>
      </c>
    </row>
    <row r="6595" spans="1:3" x14ac:dyDescent="0.25">
      <c r="A6595" s="128"/>
      <c r="B6595" s="73"/>
    </row>
    <row r="6596" spans="1:3" ht="36" x14ac:dyDescent="0.25">
      <c r="A6596" s="186" t="s">
        <v>9217</v>
      </c>
      <c r="B6596" s="193" t="s">
        <v>9887</v>
      </c>
      <c r="C6596" s="224"/>
    </row>
    <row r="6597" spans="1:3" ht="110.25" x14ac:dyDescent="0.25">
      <c r="A6597" s="127" t="s">
        <v>11085</v>
      </c>
      <c r="B6597" s="66" t="s">
        <v>11086</v>
      </c>
      <c r="C6597" s="83">
        <v>599</v>
      </c>
    </row>
    <row r="6598" spans="1:3" ht="110.25" x14ac:dyDescent="0.25">
      <c r="A6598" s="127" t="s">
        <v>11087</v>
      </c>
      <c r="B6598" s="66" t="s">
        <v>11088</v>
      </c>
      <c r="C6598" s="83">
        <v>599</v>
      </c>
    </row>
    <row r="6599" spans="1:3" x14ac:dyDescent="0.25">
      <c r="A6599" s="71"/>
      <c r="B6599" s="139"/>
    </row>
    <row r="6600" spans="1:3" ht="36" x14ac:dyDescent="0.25">
      <c r="A6600" s="218"/>
      <c r="B6600" s="219" t="s">
        <v>11089</v>
      </c>
      <c r="C6600" s="233"/>
    </row>
    <row r="6601" spans="1:3" ht="47.25" x14ac:dyDescent="0.25">
      <c r="A6601" s="127" t="s">
        <v>11090</v>
      </c>
      <c r="B6601" s="4" t="s">
        <v>9248</v>
      </c>
      <c r="C6601" s="83">
        <v>579</v>
      </c>
    </row>
    <row r="6602" spans="1:3" ht="47.25" x14ac:dyDescent="0.25">
      <c r="A6602" s="127" t="s">
        <v>11091</v>
      </c>
      <c r="B6602" s="4" t="s">
        <v>9634</v>
      </c>
      <c r="C6602" s="83">
        <v>579</v>
      </c>
    </row>
    <row r="6603" spans="1:3" x14ac:dyDescent="0.25">
      <c r="A6603" s="71"/>
      <c r="B6603" s="212" t="s">
        <v>9251</v>
      </c>
    </row>
    <row r="6604" spans="1:3" x14ac:dyDescent="0.25">
      <c r="A6604" s="71"/>
      <c r="B6604" s="139"/>
    </row>
    <row r="6605" spans="1:3" ht="72" x14ac:dyDescent="0.25">
      <c r="A6605" s="218"/>
      <c r="B6605" s="219" t="s">
        <v>11092</v>
      </c>
      <c r="C6605" s="233"/>
    </row>
    <row r="6606" spans="1:3" ht="31.5" x14ac:dyDescent="0.25">
      <c r="A6606" s="127" t="s">
        <v>11093</v>
      </c>
      <c r="B6606" s="4" t="s">
        <v>9254</v>
      </c>
      <c r="C6606" s="83">
        <v>949</v>
      </c>
    </row>
    <row r="6607" spans="1:3" ht="31.5" x14ac:dyDescent="0.25">
      <c r="A6607" s="127" t="s">
        <v>11094</v>
      </c>
      <c r="B6607" s="4" t="s">
        <v>9256</v>
      </c>
      <c r="C6607" s="83">
        <v>949</v>
      </c>
    </row>
    <row r="6608" spans="1:3" ht="31.5" x14ac:dyDescent="0.25">
      <c r="A6608" s="127" t="s">
        <v>11095</v>
      </c>
      <c r="B6608" s="4" t="s">
        <v>9258</v>
      </c>
      <c r="C6608" s="83">
        <v>1029</v>
      </c>
    </row>
    <row r="6609" spans="1:3" x14ac:dyDescent="0.25">
      <c r="A6609" s="71"/>
      <c r="B6609" s="212" t="s">
        <v>9251</v>
      </c>
    </row>
    <row r="6610" spans="1:3" x14ac:dyDescent="0.25">
      <c r="A6610" s="71"/>
      <c r="B6610" s="139"/>
    </row>
    <row r="6611" spans="1:3" ht="72" x14ac:dyDescent="0.25">
      <c r="A6611" s="218"/>
      <c r="B6611" s="219" t="s">
        <v>11096</v>
      </c>
      <c r="C6611" s="233"/>
    </row>
    <row r="6612" spans="1:3" ht="31.5" x14ac:dyDescent="0.25">
      <c r="A6612" s="127" t="s">
        <v>11097</v>
      </c>
      <c r="B6612" s="4" t="s">
        <v>9261</v>
      </c>
      <c r="C6612" s="83">
        <v>1179</v>
      </c>
    </row>
    <row r="6613" spans="1:3" ht="31.5" x14ac:dyDescent="0.25">
      <c r="A6613" s="127" t="s">
        <v>11098</v>
      </c>
      <c r="B6613" s="4" t="s">
        <v>9263</v>
      </c>
      <c r="C6613" s="83">
        <v>1179</v>
      </c>
    </row>
    <row r="6614" spans="1:3" ht="31.5" x14ac:dyDescent="0.25">
      <c r="A6614" s="127" t="s">
        <v>11099</v>
      </c>
      <c r="B6614" s="4" t="s">
        <v>9265</v>
      </c>
      <c r="C6614" s="83">
        <v>1339</v>
      </c>
    </row>
    <row r="6615" spans="1:3" x14ac:dyDescent="0.25">
      <c r="A6615" s="71"/>
      <c r="B6615" s="212" t="s">
        <v>9251</v>
      </c>
    </row>
    <row r="6616" spans="1:3" x14ac:dyDescent="0.25">
      <c r="A6616" s="71"/>
      <c r="B6616" s="131"/>
    </row>
    <row r="6617" spans="1:3" ht="54" x14ac:dyDescent="0.25">
      <c r="A6617" s="200"/>
      <c r="B6617" s="193" t="s">
        <v>9266</v>
      </c>
      <c r="C6617" s="233"/>
    </row>
    <row r="6618" spans="1:3" ht="31.5" x14ac:dyDescent="0.25">
      <c r="A6618" s="44" t="s">
        <v>11100</v>
      </c>
      <c r="B6618" s="66" t="s">
        <v>9268</v>
      </c>
      <c r="C6618" s="83">
        <v>1459</v>
      </c>
    </row>
    <row r="6619" spans="1:3" ht="31.5" x14ac:dyDescent="0.25">
      <c r="A6619" s="44" t="s">
        <v>11101</v>
      </c>
      <c r="B6619" s="66" t="s">
        <v>9270</v>
      </c>
      <c r="C6619" s="83">
        <v>1459</v>
      </c>
    </row>
    <row r="6620" spans="1:3" ht="31.5" x14ac:dyDescent="0.25">
      <c r="A6620" s="44" t="s">
        <v>11102</v>
      </c>
      <c r="B6620" s="66" t="s">
        <v>9272</v>
      </c>
      <c r="C6620" s="83">
        <v>1689</v>
      </c>
    </row>
    <row r="6621" spans="1:3" x14ac:dyDescent="0.25">
      <c r="A6621" s="71"/>
      <c r="B6621" s="131"/>
    </row>
    <row r="6622" spans="1:3" ht="18" x14ac:dyDescent="0.25">
      <c r="A6622" s="205"/>
      <c r="B6622" s="202" t="s">
        <v>9273</v>
      </c>
      <c r="C6622" s="233"/>
    </row>
    <row r="6623" spans="1:3" ht="36" x14ac:dyDescent="0.25">
      <c r="A6623" s="202"/>
      <c r="B6623" s="193" t="s">
        <v>15799</v>
      </c>
      <c r="C6623" s="233"/>
    </row>
    <row r="6624" spans="1:3" ht="31.5" x14ac:dyDescent="0.25">
      <c r="A6624" s="44" t="s">
        <v>11103</v>
      </c>
      <c r="B6624" s="66" t="s">
        <v>9275</v>
      </c>
      <c r="C6624" s="83">
        <v>609</v>
      </c>
    </row>
    <row r="6625" spans="1:3" ht="31.5" x14ac:dyDescent="0.25">
      <c r="A6625" s="44" t="s">
        <v>11104</v>
      </c>
      <c r="B6625" s="66" t="s">
        <v>9277</v>
      </c>
      <c r="C6625" s="83">
        <v>609</v>
      </c>
    </row>
    <row r="6626" spans="1:3" ht="31.5" x14ac:dyDescent="0.25">
      <c r="A6626" s="44" t="s">
        <v>11105</v>
      </c>
      <c r="B6626" s="66" t="s">
        <v>9279</v>
      </c>
      <c r="C6626" s="83">
        <v>609</v>
      </c>
    </row>
    <row r="6627" spans="1:3" ht="31.5" x14ac:dyDescent="0.25">
      <c r="A6627" s="44" t="s">
        <v>11106</v>
      </c>
      <c r="B6627" s="66" t="s">
        <v>9281</v>
      </c>
      <c r="C6627" s="83">
        <v>609</v>
      </c>
    </row>
    <row r="6628" spans="1:3" ht="31.5" x14ac:dyDescent="0.25">
      <c r="A6628" s="44" t="s">
        <v>11107</v>
      </c>
      <c r="B6628" s="66" t="s">
        <v>9283</v>
      </c>
      <c r="C6628" s="83">
        <v>609</v>
      </c>
    </row>
    <row r="6629" spans="1:3" ht="31.5" x14ac:dyDescent="0.25">
      <c r="A6629" s="44" t="s">
        <v>11108</v>
      </c>
      <c r="B6629" s="66" t="s">
        <v>9285</v>
      </c>
      <c r="C6629" s="83">
        <v>609</v>
      </c>
    </row>
    <row r="6630" spans="1:3" ht="31.5" x14ac:dyDescent="0.25">
      <c r="A6630" s="44" t="s">
        <v>11109</v>
      </c>
      <c r="B6630" s="66" t="s">
        <v>9287</v>
      </c>
      <c r="C6630" s="83">
        <v>609</v>
      </c>
    </row>
    <row r="6631" spans="1:3" x14ac:dyDescent="0.25">
      <c r="A6631" s="126"/>
      <c r="B6631" s="198" t="s">
        <v>9251</v>
      </c>
    </row>
    <row r="6632" spans="1:3" x14ac:dyDescent="0.25">
      <c r="A6632" s="126"/>
      <c r="B6632" s="68"/>
    </row>
    <row r="6633" spans="1:3" ht="18" x14ac:dyDescent="0.25">
      <c r="A6633" s="205"/>
      <c r="B6633" s="202" t="s">
        <v>9273</v>
      </c>
      <c r="C6633" s="233"/>
    </row>
    <row r="6634" spans="1:3" ht="36" x14ac:dyDescent="0.25">
      <c r="A6634" s="202"/>
      <c r="B6634" s="193" t="s">
        <v>15800</v>
      </c>
      <c r="C6634" s="233"/>
    </row>
    <row r="6635" spans="1:3" ht="31.5" x14ac:dyDescent="0.25">
      <c r="A6635" s="44" t="s">
        <v>11110</v>
      </c>
      <c r="B6635" s="66" t="s">
        <v>9289</v>
      </c>
      <c r="C6635" s="83">
        <v>619</v>
      </c>
    </row>
    <row r="6636" spans="1:3" ht="31.5" x14ac:dyDescent="0.25">
      <c r="A6636" s="44" t="s">
        <v>11111</v>
      </c>
      <c r="B6636" s="66" t="s">
        <v>9291</v>
      </c>
      <c r="C6636" s="83">
        <v>619</v>
      </c>
    </row>
    <row r="6637" spans="1:3" ht="31.5" x14ac:dyDescent="0.25">
      <c r="A6637" s="44" t="s">
        <v>11112</v>
      </c>
      <c r="B6637" s="66" t="s">
        <v>9293</v>
      </c>
      <c r="C6637" s="83">
        <v>619</v>
      </c>
    </row>
    <row r="6638" spans="1:3" ht="31.5" x14ac:dyDescent="0.25">
      <c r="A6638" s="44" t="s">
        <v>11113</v>
      </c>
      <c r="B6638" s="66" t="s">
        <v>9295</v>
      </c>
      <c r="C6638" s="83">
        <v>619</v>
      </c>
    </row>
    <row r="6639" spans="1:3" ht="31.5" x14ac:dyDescent="0.25">
      <c r="A6639" s="44" t="s">
        <v>11114</v>
      </c>
      <c r="B6639" s="66" t="s">
        <v>9297</v>
      </c>
      <c r="C6639" s="83">
        <v>619</v>
      </c>
    </row>
    <row r="6640" spans="1:3" ht="31.5" x14ac:dyDescent="0.25">
      <c r="A6640" s="44" t="s">
        <v>11115</v>
      </c>
      <c r="B6640" s="66" t="s">
        <v>9299</v>
      </c>
      <c r="C6640" s="83">
        <v>619</v>
      </c>
    </row>
    <row r="6641" spans="1:3" ht="31.5" x14ac:dyDescent="0.25">
      <c r="A6641" s="44" t="s">
        <v>11116</v>
      </c>
      <c r="B6641" s="66" t="s">
        <v>9301</v>
      </c>
      <c r="C6641" s="83">
        <v>619</v>
      </c>
    </row>
    <row r="6642" spans="1:3" x14ac:dyDescent="0.25">
      <c r="A6642" s="126"/>
      <c r="B6642" s="198" t="s">
        <v>9251</v>
      </c>
    </row>
    <row r="6643" spans="1:3" x14ac:dyDescent="0.25">
      <c r="A6643" s="126"/>
      <c r="B6643" s="68"/>
    </row>
    <row r="6644" spans="1:3" ht="18" x14ac:dyDescent="0.25">
      <c r="A6644" s="205"/>
      <c r="B6644" s="202" t="s">
        <v>9273</v>
      </c>
      <c r="C6644" s="233"/>
    </row>
    <row r="6645" spans="1:3" ht="36" x14ac:dyDescent="0.25">
      <c r="A6645" s="202"/>
      <c r="B6645" s="193" t="s">
        <v>15801</v>
      </c>
      <c r="C6645" s="233"/>
    </row>
    <row r="6646" spans="1:3" ht="31.5" x14ac:dyDescent="0.25">
      <c r="A6646" s="44" t="s">
        <v>11117</v>
      </c>
      <c r="B6646" s="66" t="s">
        <v>9303</v>
      </c>
      <c r="C6646" s="83">
        <v>629</v>
      </c>
    </row>
    <row r="6647" spans="1:3" ht="31.5" x14ac:dyDescent="0.25">
      <c r="A6647" s="44" t="s">
        <v>9304</v>
      </c>
      <c r="B6647" s="66" t="s">
        <v>9305</v>
      </c>
      <c r="C6647" s="83">
        <v>0</v>
      </c>
    </row>
    <row r="6648" spans="1:3" ht="31.5" x14ac:dyDescent="0.25">
      <c r="A6648" s="44" t="s">
        <v>11118</v>
      </c>
      <c r="B6648" s="66" t="s">
        <v>9307</v>
      </c>
      <c r="C6648" s="83">
        <v>629</v>
      </c>
    </row>
    <row r="6649" spans="1:3" ht="31.5" x14ac:dyDescent="0.25">
      <c r="A6649" s="44" t="s">
        <v>9304</v>
      </c>
      <c r="B6649" s="66" t="s">
        <v>9308</v>
      </c>
      <c r="C6649" s="83">
        <v>0</v>
      </c>
    </row>
    <row r="6650" spans="1:3" ht="31.5" x14ac:dyDescent="0.25">
      <c r="A6650" s="44" t="s">
        <v>11119</v>
      </c>
      <c r="B6650" s="66" t="s">
        <v>9310</v>
      </c>
      <c r="C6650" s="83">
        <v>629</v>
      </c>
    </row>
    <row r="6651" spans="1:3" ht="31.5" x14ac:dyDescent="0.25">
      <c r="A6651" s="44" t="s">
        <v>11120</v>
      </c>
      <c r="B6651" s="66" t="s">
        <v>9312</v>
      </c>
      <c r="C6651" s="83">
        <v>629</v>
      </c>
    </row>
    <row r="6652" spans="1:3" ht="31.5" x14ac:dyDescent="0.25">
      <c r="A6652" s="44" t="s">
        <v>11121</v>
      </c>
      <c r="B6652" s="66" t="s">
        <v>9314</v>
      </c>
      <c r="C6652" s="83">
        <v>629</v>
      </c>
    </row>
    <row r="6653" spans="1:3" x14ac:dyDescent="0.25">
      <c r="A6653" s="194" t="s">
        <v>9315</v>
      </c>
      <c r="B6653" s="139"/>
    </row>
    <row r="6654" spans="1:3" x14ac:dyDescent="0.25">
      <c r="A6654" s="69"/>
      <c r="B6654" s="139"/>
    </row>
    <row r="6655" spans="1:3" ht="18" x14ac:dyDescent="0.25">
      <c r="A6655" s="218"/>
      <c r="B6655" s="219" t="s">
        <v>9328</v>
      </c>
      <c r="C6655" s="233"/>
    </row>
    <row r="6656" spans="1:3" ht="31.5" x14ac:dyDescent="0.25">
      <c r="A6656" s="22" t="s">
        <v>11122</v>
      </c>
      <c r="B6656" s="4" t="s">
        <v>9937</v>
      </c>
      <c r="C6656" s="83">
        <v>459</v>
      </c>
    </row>
    <row r="6657" spans="1:3" x14ac:dyDescent="0.25">
      <c r="A6657" s="71"/>
      <c r="B6657" s="139"/>
    </row>
    <row r="6658" spans="1:3" ht="18" x14ac:dyDescent="0.25">
      <c r="A6658" s="218"/>
      <c r="B6658" s="219" t="s">
        <v>9347</v>
      </c>
      <c r="C6658" s="233"/>
    </row>
    <row r="6659" spans="1:3" ht="18" x14ac:dyDescent="0.25">
      <c r="A6659" s="218"/>
      <c r="B6659" s="207" t="s">
        <v>11123</v>
      </c>
      <c r="C6659" s="233"/>
    </row>
    <row r="6660" spans="1:3" ht="78.75" x14ac:dyDescent="0.25">
      <c r="A6660" s="127" t="s">
        <v>11124</v>
      </c>
      <c r="B6660" s="4" t="s">
        <v>11125</v>
      </c>
      <c r="C6660" s="83">
        <v>359</v>
      </c>
    </row>
    <row r="6661" spans="1:3" ht="78.75" x14ac:dyDescent="0.25">
      <c r="A6661" s="127" t="s">
        <v>11126</v>
      </c>
      <c r="B6661" s="4" t="s">
        <v>11127</v>
      </c>
      <c r="C6661" s="83">
        <v>409</v>
      </c>
    </row>
    <row r="6662" spans="1:3" ht="94.5" x14ac:dyDescent="0.25">
      <c r="A6662" s="127" t="s">
        <v>11128</v>
      </c>
      <c r="B6662" s="4" t="s">
        <v>11129</v>
      </c>
      <c r="C6662" s="83">
        <v>329</v>
      </c>
    </row>
    <row r="6663" spans="1:3" ht="94.5" x14ac:dyDescent="0.25">
      <c r="A6663" s="127" t="s">
        <v>11130</v>
      </c>
      <c r="B6663" s="4" t="s">
        <v>11131</v>
      </c>
      <c r="C6663" s="83">
        <v>329</v>
      </c>
    </row>
    <row r="6664" spans="1:3" ht="94.5" x14ac:dyDescent="0.25">
      <c r="A6664" s="127" t="s">
        <v>11132</v>
      </c>
      <c r="B6664" s="4" t="s">
        <v>11133</v>
      </c>
      <c r="C6664" s="83">
        <v>329</v>
      </c>
    </row>
    <row r="6665" spans="1:3" x14ac:dyDescent="0.25">
      <c r="A6665" s="71"/>
      <c r="B6665" s="139"/>
    </row>
    <row r="6666" spans="1:3" ht="18" x14ac:dyDescent="0.25">
      <c r="A6666" s="218"/>
      <c r="B6666" s="219" t="s">
        <v>11134</v>
      </c>
      <c r="C6666" s="233"/>
    </row>
    <row r="6667" spans="1:3" ht="31.5" x14ac:dyDescent="0.25">
      <c r="A6667" s="22" t="s">
        <v>11135</v>
      </c>
      <c r="B6667" s="4" t="s">
        <v>11136</v>
      </c>
      <c r="C6667" s="83">
        <v>259</v>
      </c>
    </row>
    <row r="6668" spans="1:3" x14ac:dyDescent="0.25">
      <c r="A6668" s="71"/>
      <c r="B6668" s="139"/>
    </row>
    <row r="6669" spans="1:3" ht="36" x14ac:dyDescent="0.25">
      <c r="A6669" s="218"/>
      <c r="B6669" s="219" t="s">
        <v>11137</v>
      </c>
      <c r="C6669" s="233"/>
    </row>
    <row r="6670" spans="1:3" ht="47.25" x14ac:dyDescent="0.25">
      <c r="A6670" s="127" t="s">
        <v>11138</v>
      </c>
      <c r="B6670" s="4" t="s">
        <v>9832</v>
      </c>
      <c r="C6670" s="83">
        <v>249</v>
      </c>
    </row>
    <row r="6671" spans="1:3" x14ac:dyDescent="0.25">
      <c r="A6671" s="71"/>
      <c r="B6671" s="139"/>
    </row>
    <row r="6672" spans="1:3" ht="36" x14ac:dyDescent="0.25">
      <c r="A6672" s="218"/>
      <c r="B6672" s="219" t="s">
        <v>11139</v>
      </c>
      <c r="C6672" s="233"/>
    </row>
    <row r="6673" spans="1:3" ht="18" x14ac:dyDescent="0.25">
      <c r="A6673" s="218"/>
      <c r="B6673" s="228" t="s">
        <v>10382</v>
      </c>
      <c r="C6673" s="233"/>
    </row>
    <row r="6674" spans="1:3" ht="18" x14ac:dyDescent="0.25">
      <c r="A6674" s="218"/>
      <c r="B6674" s="243" t="s">
        <v>10383</v>
      </c>
      <c r="C6674" s="233"/>
    </row>
    <row r="6675" spans="1:3" ht="63" x14ac:dyDescent="0.25">
      <c r="A6675" s="127" t="s">
        <v>11140</v>
      </c>
      <c r="B6675" s="4" t="s">
        <v>11141</v>
      </c>
      <c r="C6675" s="83">
        <v>2139</v>
      </c>
    </row>
    <row r="6676" spans="1:3" x14ac:dyDescent="0.25">
      <c r="A6676" s="71"/>
      <c r="B6676" s="139"/>
    </row>
    <row r="6677" spans="1:3" ht="36" x14ac:dyDescent="0.25">
      <c r="A6677" s="218"/>
      <c r="B6677" s="219" t="s">
        <v>9388</v>
      </c>
      <c r="C6677" s="233"/>
    </row>
    <row r="6678" spans="1:3" ht="31.5" x14ac:dyDescent="0.25">
      <c r="A6678" s="127" t="s">
        <v>11142</v>
      </c>
      <c r="B6678" s="4" t="s">
        <v>9390</v>
      </c>
      <c r="C6678" s="83">
        <v>289</v>
      </c>
    </row>
    <row r="6679" spans="1:3" x14ac:dyDescent="0.25">
      <c r="A6679" s="71"/>
      <c r="B6679" s="139"/>
    </row>
    <row r="6680" spans="1:3" ht="36" x14ac:dyDescent="0.25">
      <c r="A6680" s="218"/>
      <c r="B6680" s="228" t="s">
        <v>9834</v>
      </c>
      <c r="C6680" s="233"/>
    </row>
    <row r="6681" spans="1:3" ht="78.75" x14ac:dyDescent="0.25">
      <c r="A6681" s="127" t="s">
        <v>11143</v>
      </c>
      <c r="B6681" s="4" t="s">
        <v>11144</v>
      </c>
      <c r="C6681" s="83">
        <v>89</v>
      </c>
    </row>
    <row r="6682" spans="1:3" x14ac:dyDescent="0.25">
      <c r="A6682" s="71"/>
      <c r="B6682" s="139"/>
    </row>
    <row r="6683" spans="1:3" ht="18" x14ac:dyDescent="0.25">
      <c r="A6683" s="218"/>
      <c r="B6683" s="207" t="s">
        <v>11145</v>
      </c>
      <c r="C6683" s="233"/>
    </row>
    <row r="6684" spans="1:3" ht="54" x14ac:dyDescent="0.25">
      <c r="A6684" s="218"/>
      <c r="B6684" s="219" t="s">
        <v>11146</v>
      </c>
      <c r="C6684" s="233"/>
    </row>
    <row r="6685" spans="1:3" ht="204.75" x14ac:dyDescent="0.25">
      <c r="A6685" s="127" t="s">
        <v>11147</v>
      </c>
      <c r="B6685" s="4" t="s">
        <v>11148</v>
      </c>
      <c r="C6685" s="83">
        <v>2809</v>
      </c>
    </row>
    <row r="6686" spans="1:3" x14ac:dyDescent="0.25">
      <c r="A6686" s="71"/>
      <c r="B6686" s="133"/>
    </row>
    <row r="6687" spans="1:3" ht="18" x14ac:dyDescent="0.25">
      <c r="A6687" s="218"/>
      <c r="B6687" s="207" t="s">
        <v>11145</v>
      </c>
      <c r="C6687" s="233"/>
    </row>
    <row r="6688" spans="1:3" ht="36" x14ac:dyDescent="0.25">
      <c r="A6688" s="218"/>
      <c r="B6688" s="219" t="s">
        <v>15804</v>
      </c>
      <c r="C6688" s="233"/>
    </row>
    <row r="6689" spans="1:3" ht="47.25" x14ac:dyDescent="0.25">
      <c r="A6689" s="127" t="s">
        <v>11149</v>
      </c>
      <c r="B6689" s="137" t="s">
        <v>11150</v>
      </c>
      <c r="C6689" s="83">
        <v>299.99</v>
      </c>
    </row>
    <row r="6690" spans="1:3" x14ac:dyDescent="0.25">
      <c r="A6690" s="127" t="s">
        <v>11151</v>
      </c>
      <c r="B6690" s="4" t="s">
        <v>9587</v>
      </c>
      <c r="C6690" s="83">
        <v>149</v>
      </c>
    </row>
    <row r="6691" spans="1:3" x14ac:dyDescent="0.25">
      <c r="A6691" s="127" t="s">
        <v>11152</v>
      </c>
      <c r="B6691" s="4" t="s">
        <v>9588</v>
      </c>
      <c r="C6691" s="83">
        <v>329</v>
      </c>
    </row>
    <row r="6692" spans="1:3" x14ac:dyDescent="0.25">
      <c r="B6692" s="139"/>
    </row>
    <row r="6693" spans="1:3" ht="18" x14ac:dyDescent="0.25">
      <c r="A6693" s="218"/>
      <c r="B6693" s="207" t="s">
        <v>9589</v>
      </c>
      <c r="C6693" s="233"/>
    </row>
    <row r="6694" spans="1:3" ht="36" x14ac:dyDescent="0.25">
      <c r="A6694" s="218"/>
      <c r="B6694" s="219" t="s">
        <v>10031</v>
      </c>
      <c r="C6694" s="233"/>
    </row>
    <row r="6695" spans="1:3" ht="267.75" x14ac:dyDescent="0.25">
      <c r="A6695" s="127" t="s">
        <v>11153</v>
      </c>
      <c r="B6695" s="4" t="s">
        <v>11154</v>
      </c>
      <c r="C6695" s="83">
        <v>3229</v>
      </c>
    </row>
    <row r="6696" spans="1:3" x14ac:dyDescent="0.25">
      <c r="B6696" s="133"/>
      <c r="C6696" s="91"/>
    </row>
    <row r="6697" spans="1:3" ht="18" x14ac:dyDescent="0.25">
      <c r="A6697" s="225"/>
      <c r="B6697" s="228" t="s">
        <v>11155</v>
      </c>
      <c r="C6697" s="264"/>
    </row>
    <row r="6698" spans="1:3" ht="18" x14ac:dyDescent="0.25">
      <c r="A6698" s="225" t="s">
        <v>9122</v>
      </c>
      <c r="B6698" s="228" t="s">
        <v>11156</v>
      </c>
      <c r="C6698" s="264"/>
    </row>
    <row r="6699" spans="1:3" ht="94.5" x14ac:dyDescent="0.25">
      <c r="A6699" s="127" t="s">
        <v>11157</v>
      </c>
      <c r="B6699" s="154" t="s">
        <v>11008</v>
      </c>
      <c r="C6699" s="83">
        <v>799</v>
      </c>
    </row>
    <row r="6700" spans="1:3" ht="94.5" x14ac:dyDescent="0.25">
      <c r="A6700" s="127" t="s">
        <v>11158</v>
      </c>
      <c r="B6700" s="154" t="s">
        <v>11006</v>
      </c>
      <c r="C6700" s="83">
        <v>839</v>
      </c>
    </row>
    <row r="6701" spans="1:3" ht="94.5" x14ac:dyDescent="0.25">
      <c r="A6701" s="127" t="s">
        <v>11159</v>
      </c>
      <c r="B6701" s="154" t="s">
        <v>11010</v>
      </c>
      <c r="C6701" s="83">
        <v>899</v>
      </c>
    </row>
    <row r="6702" spans="1:3" ht="94.5" x14ac:dyDescent="0.25">
      <c r="A6702" s="127" t="s">
        <v>11160</v>
      </c>
      <c r="B6702" s="154" t="s">
        <v>11012</v>
      </c>
      <c r="C6702" s="83">
        <v>819</v>
      </c>
    </row>
    <row r="6703" spans="1:3" ht="94.5" x14ac:dyDescent="0.25">
      <c r="A6703" s="127" t="s">
        <v>11161</v>
      </c>
      <c r="B6703" s="154" t="s">
        <v>11016</v>
      </c>
      <c r="C6703" s="83">
        <v>819</v>
      </c>
    </row>
    <row r="6704" spans="1:3" ht="94.5" x14ac:dyDescent="0.25">
      <c r="A6704" s="127" t="s">
        <v>11162</v>
      </c>
      <c r="B6704" s="154" t="s">
        <v>11014</v>
      </c>
      <c r="C6704" s="83">
        <v>859</v>
      </c>
    </row>
    <row r="6705" spans="1:3" ht="18" x14ac:dyDescent="0.25">
      <c r="A6705" s="225" t="s">
        <v>9136</v>
      </c>
      <c r="B6705" s="238"/>
      <c r="C6705" s="233"/>
    </row>
    <row r="6706" spans="1:3" ht="94.5" x14ac:dyDescent="0.25">
      <c r="A6706" s="127" t="s">
        <v>11163</v>
      </c>
      <c r="B6706" s="154" t="s">
        <v>11020</v>
      </c>
      <c r="C6706" s="83">
        <v>919</v>
      </c>
    </row>
    <row r="6707" spans="1:3" ht="94.5" x14ac:dyDescent="0.25">
      <c r="A6707" s="127" t="s">
        <v>11164</v>
      </c>
      <c r="B6707" s="154" t="s">
        <v>11018</v>
      </c>
      <c r="C6707" s="83">
        <v>959</v>
      </c>
    </row>
    <row r="6708" spans="1:3" ht="94.5" x14ac:dyDescent="0.25">
      <c r="A6708" s="127" t="s">
        <v>11165</v>
      </c>
      <c r="B6708" s="154" t="s">
        <v>11166</v>
      </c>
      <c r="C6708" s="83">
        <v>969</v>
      </c>
    </row>
    <row r="6709" spans="1:3" ht="110.25" x14ac:dyDescent="0.25">
      <c r="A6709" s="127" t="s">
        <v>11167</v>
      </c>
      <c r="B6709" s="154" t="s">
        <v>11028</v>
      </c>
      <c r="C6709" s="83">
        <v>959</v>
      </c>
    </row>
    <row r="6710" spans="1:3" ht="110.25" x14ac:dyDescent="0.25">
      <c r="A6710" s="127" t="s">
        <v>11168</v>
      </c>
      <c r="B6710" s="154" t="s">
        <v>11026</v>
      </c>
      <c r="C6710" s="83">
        <v>999</v>
      </c>
    </row>
    <row r="6711" spans="1:3" ht="36" x14ac:dyDescent="0.25">
      <c r="A6711" s="225" t="s">
        <v>9136</v>
      </c>
      <c r="B6711" s="228" t="s">
        <v>9149</v>
      </c>
      <c r="C6711" s="233"/>
    </row>
    <row r="6712" spans="1:3" ht="78.75" x14ac:dyDescent="0.25">
      <c r="A6712" s="127" t="s">
        <v>11169</v>
      </c>
      <c r="B6712" s="154" t="s">
        <v>11058</v>
      </c>
      <c r="C6712" s="83">
        <v>1059</v>
      </c>
    </row>
    <row r="6713" spans="1:3" ht="78.75" x14ac:dyDescent="0.25">
      <c r="A6713" s="127" t="s">
        <v>11170</v>
      </c>
      <c r="B6713" s="154" t="s">
        <v>11054</v>
      </c>
      <c r="C6713" s="83">
        <v>1099</v>
      </c>
    </row>
    <row r="6714" spans="1:3" x14ac:dyDescent="0.25">
      <c r="A6714" s="194" t="s">
        <v>9199</v>
      </c>
      <c r="B6714" s="153"/>
    </row>
    <row r="6715" spans="1:3" x14ac:dyDescent="0.25">
      <c r="A6715" s="69"/>
      <c r="B6715" s="153"/>
    </row>
    <row r="6716" spans="1:3" ht="54" x14ac:dyDescent="0.25">
      <c r="A6716" s="225" t="s">
        <v>9200</v>
      </c>
      <c r="B6716" s="219" t="s">
        <v>15803</v>
      </c>
      <c r="C6716" s="233"/>
    </row>
    <row r="6717" spans="1:3" ht="94.5" x14ac:dyDescent="0.25">
      <c r="A6717" s="127" t="s">
        <v>11171</v>
      </c>
      <c r="B6717" s="4" t="s">
        <v>11078</v>
      </c>
      <c r="C6717" s="83">
        <v>1279</v>
      </c>
    </row>
    <row r="6718" spans="1:3" ht="94.5" x14ac:dyDescent="0.25">
      <c r="A6718" s="127" t="s">
        <v>11172</v>
      </c>
      <c r="B6718" s="4" t="s">
        <v>11173</v>
      </c>
      <c r="C6718" s="83">
        <v>1279</v>
      </c>
    </row>
    <row r="6719" spans="1:3" x14ac:dyDescent="0.25">
      <c r="A6719" s="128"/>
      <c r="B6719" s="73"/>
    </row>
    <row r="6720" spans="1:3" x14ac:dyDescent="0.25">
      <c r="A6720" s="71"/>
      <c r="B6720" s="235" t="s">
        <v>11174</v>
      </c>
    </row>
    <row r="6721" spans="1:3" ht="36" x14ac:dyDescent="0.25">
      <c r="A6721" s="218"/>
      <c r="B6721" s="219" t="s">
        <v>11089</v>
      </c>
      <c r="C6721" s="233"/>
    </row>
    <row r="6722" spans="1:3" ht="47.25" x14ac:dyDescent="0.25">
      <c r="A6722" s="127" t="s">
        <v>11175</v>
      </c>
      <c r="B6722" s="154" t="s">
        <v>9248</v>
      </c>
      <c r="C6722" s="83">
        <v>579</v>
      </c>
    </row>
    <row r="6723" spans="1:3" ht="47.25" x14ac:dyDescent="0.25">
      <c r="A6723" s="127" t="s">
        <v>11176</v>
      </c>
      <c r="B6723" s="154" t="s">
        <v>9634</v>
      </c>
      <c r="C6723" s="83">
        <v>579</v>
      </c>
    </row>
    <row r="6724" spans="1:3" x14ac:dyDescent="0.25">
      <c r="A6724" s="71"/>
      <c r="B6724" s="212" t="s">
        <v>9251</v>
      </c>
    </row>
    <row r="6725" spans="1:3" x14ac:dyDescent="0.25">
      <c r="A6725" s="71"/>
      <c r="B6725" s="131"/>
    </row>
    <row r="6726" spans="1:3" x14ac:dyDescent="0.25">
      <c r="A6726" s="71"/>
      <c r="B6726" s="235" t="s">
        <v>11174</v>
      </c>
    </row>
    <row r="6727" spans="1:3" ht="72" x14ac:dyDescent="0.25">
      <c r="A6727" s="218"/>
      <c r="B6727" s="219" t="s">
        <v>11092</v>
      </c>
      <c r="C6727" s="233"/>
    </row>
    <row r="6728" spans="1:3" ht="31.5" x14ac:dyDescent="0.25">
      <c r="A6728" s="127" t="s">
        <v>11177</v>
      </c>
      <c r="B6728" s="66" t="s">
        <v>9254</v>
      </c>
      <c r="C6728" s="83">
        <v>949</v>
      </c>
    </row>
    <row r="6729" spans="1:3" ht="31.5" x14ac:dyDescent="0.25">
      <c r="A6729" s="127" t="s">
        <v>11178</v>
      </c>
      <c r="B6729" s="66" t="s">
        <v>9256</v>
      </c>
      <c r="C6729" s="83">
        <v>949</v>
      </c>
    </row>
    <row r="6730" spans="1:3" ht="31.5" x14ac:dyDescent="0.25">
      <c r="A6730" s="127" t="s">
        <v>11179</v>
      </c>
      <c r="B6730" s="66" t="s">
        <v>9258</v>
      </c>
      <c r="C6730" s="83">
        <v>1029</v>
      </c>
    </row>
    <row r="6731" spans="1:3" x14ac:dyDescent="0.25">
      <c r="A6731" s="71"/>
      <c r="B6731" s="212" t="s">
        <v>9251</v>
      </c>
    </row>
    <row r="6732" spans="1:3" x14ac:dyDescent="0.25">
      <c r="A6732" s="71"/>
      <c r="B6732" s="131"/>
    </row>
    <row r="6733" spans="1:3" x14ac:dyDescent="0.25">
      <c r="A6733" s="71"/>
      <c r="B6733" s="235" t="s">
        <v>11174</v>
      </c>
    </row>
    <row r="6734" spans="1:3" ht="72" x14ac:dyDescent="0.25">
      <c r="A6734" s="218"/>
      <c r="B6734" s="219" t="s">
        <v>11096</v>
      </c>
      <c r="C6734" s="233"/>
    </row>
    <row r="6735" spans="1:3" ht="31.5" x14ac:dyDescent="0.25">
      <c r="A6735" s="127" t="s">
        <v>11180</v>
      </c>
      <c r="B6735" s="66" t="s">
        <v>9261</v>
      </c>
      <c r="C6735" s="83">
        <v>1179</v>
      </c>
    </row>
    <row r="6736" spans="1:3" ht="31.5" x14ac:dyDescent="0.25">
      <c r="A6736" s="127" t="s">
        <v>11181</v>
      </c>
      <c r="B6736" s="66" t="s">
        <v>9263</v>
      </c>
      <c r="C6736" s="83">
        <v>1179</v>
      </c>
    </row>
    <row r="6737" spans="1:3" ht="31.5" x14ac:dyDescent="0.25">
      <c r="A6737" s="127" t="s">
        <v>11182</v>
      </c>
      <c r="B6737" s="66" t="s">
        <v>9265</v>
      </c>
      <c r="C6737" s="83">
        <v>1339</v>
      </c>
    </row>
    <row r="6738" spans="1:3" x14ac:dyDescent="0.25">
      <c r="A6738" s="71"/>
      <c r="B6738" s="212" t="s">
        <v>9251</v>
      </c>
    </row>
    <row r="6739" spans="1:3" x14ac:dyDescent="0.25">
      <c r="A6739" s="71"/>
      <c r="B6739" s="131"/>
    </row>
    <row r="6740" spans="1:3" x14ac:dyDescent="0.25">
      <c r="A6740" s="71"/>
      <c r="B6740" s="235" t="s">
        <v>11174</v>
      </c>
    </row>
    <row r="6741" spans="1:3" ht="54" x14ac:dyDescent="0.25">
      <c r="A6741" s="200"/>
      <c r="B6741" s="193" t="s">
        <v>9266</v>
      </c>
      <c r="C6741" s="233"/>
    </row>
    <row r="6742" spans="1:3" ht="31.5" x14ac:dyDescent="0.25">
      <c r="A6742" s="44" t="s">
        <v>11183</v>
      </c>
      <c r="B6742" s="66" t="s">
        <v>9268</v>
      </c>
      <c r="C6742" s="83">
        <v>1459</v>
      </c>
    </row>
    <row r="6743" spans="1:3" ht="31.5" x14ac:dyDescent="0.25">
      <c r="A6743" s="44" t="s">
        <v>11184</v>
      </c>
      <c r="B6743" s="66" t="s">
        <v>9270</v>
      </c>
      <c r="C6743" s="83">
        <v>1459</v>
      </c>
    </row>
    <row r="6744" spans="1:3" ht="31.5" x14ac:dyDescent="0.25">
      <c r="A6744" s="44" t="s">
        <v>11185</v>
      </c>
      <c r="B6744" s="66" t="s">
        <v>9272</v>
      </c>
      <c r="C6744" s="83">
        <v>1689</v>
      </c>
    </row>
    <row r="6745" spans="1:3" x14ac:dyDescent="0.25">
      <c r="A6745" s="129"/>
      <c r="B6745" s="72"/>
    </row>
    <row r="6746" spans="1:3" x14ac:dyDescent="0.25">
      <c r="A6746" s="71"/>
      <c r="B6746" s="235" t="s">
        <v>11174</v>
      </c>
    </row>
    <row r="6747" spans="1:3" x14ac:dyDescent="0.25">
      <c r="A6747" s="126"/>
      <c r="B6747" s="198" t="s">
        <v>9273</v>
      </c>
    </row>
    <row r="6748" spans="1:3" ht="36" x14ac:dyDescent="0.25">
      <c r="A6748" s="202"/>
      <c r="B6748" s="193" t="s">
        <v>15799</v>
      </c>
      <c r="C6748" s="233"/>
    </row>
    <row r="6749" spans="1:3" ht="31.5" x14ac:dyDescent="0.25">
      <c r="A6749" s="44" t="s">
        <v>11186</v>
      </c>
      <c r="B6749" s="66" t="s">
        <v>9275</v>
      </c>
      <c r="C6749" s="83">
        <v>609</v>
      </c>
    </row>
    <row r="6750" spans="1:3" ht="31.5" x14ac:dyDescent="0.25">
      <c r="A6750" s="44" t="s">
        <v>11187</v>
      </c>
      <c r="B6750" s="66" t="s">
        <v>9277</v>
      </c>
      <c r="C6750" s="83">
        <v>609</v>
      </c>
    </row>
    <row r="6751" spans="1:3" ht="31.5" x14ac:dyDescent="0.25">
      <c r="A6751" s="44" t="s">
        <v>11188</v>
      </c>
      <c r="B6751" s="66" t="s">
        <v>9279</v>
      </c>
      <c r="C6751" s="83">
        <v>609</v>
      </c>
    </row>
    <row r="6752" spans="1:3" ht="31.5" x14ac:dyDescent="0.25">
      <c r="A6752" s="44" t="s">
        <v>11189</v>
      </c>
      <c r="B6752" s="66" t="s">
        <v>9281</v>
      </c>
      <c r="C6752" s="83">
        <v>609</v>
      </c>
    </row>
    <row r="6753" spans="1:3" ht="31.5" x14ac:dyDescent="0.25">
      <c r="A6753" s="44" t="s">
        <v>11190</v>
      </c>
      <c r="B6753" s="66" t="s">
        <v>9283</v>
      </c>
      <c r="C6753" s="83">
        <v>609</v>
      </c>
    </row>
    <row r="6754" spans="1:3" ht="31.5" x14ac:dyDescent="0.25">
      <c r="A6754" s="44" t="s">
        <v>11191</v>
      </c>
      <c r="B6754" s="66" t="s">
        <v>9285</v>
      </c>
      <c r="C6754" s="83">
        <v>609</v>
      </c>
    </row>
    <row r="6755" spans="1:3" ht="31.5" x14ac:dyDescent="0.25">
      <c r="A6755" s="44" t="s">
        <v>11192</v>
      </c>
      <c r="B6755" s="66" t="s">
        <v>9287</v>
      </c>
      <c r="C6755" s="83">
        <v>609</v>
      </c>
    </row>
    <row r="6756" spans="1:3" x14ac:dyDescent="0.25">
      <c r="A6756" s="126"/>
      <c r="B6756" s="198" t="s">
        <v>9251</v>
      </c>
    </row>
    <row r="6757" spans="1:3" x14ac:dyDescent="0.25">
      <c r="A6757" s="126"/>
      <c r="B6757" s="198"/>
    </row>
    <row r="6758" spans="1:3" x14ac:dyDescent="0.25">
      <c r="A6758" s="126"/>
      <c r="B6758" s="235" t="s">
        <v>11174</v>
      </c>
    </row>
    <row r="6759" spans="1:3" x14ac:dyDescent="0.25">
      <c r="A6759" s="126"/>
      <c r="B6759" s="198" t="s">
        <v>9273</v>
      </c>
    </row>
    <row r="6760" spans="1:3" ht="36" x14ac:dyDescent="0.25">
      <c r="A6760" s="202"/>
      <c r="B6760" s="193" t="s">
        <v>15800</v>
      </c>
      <c r="C6760" s="233"/>
    </row>
    <row r="6761" spans="1:3" ht="31.5" x14ac:dyDescent="0.25">
      <c r="A6761" s="44" t="s">
        <v>11193</v>
      </c>
      <c r="B6761" s="66" t="s">
        <v>9289</v>
      </c>
      <c r="C6761" s="83">
        <v>619</v>
      </c>
    </row>
    <row r="6762" spans="1:3" ht="31.5" x14ac:dyDescent="0.25">
      <c r="A6762" s="44" t="s">
        <v>11194</v>
      </c>
      <c r="B6762" s="66" t="s">
        <v>9291</v>
      </c>
      <c r="C6762" s="83">
        <v>619</v>
      </c>
    </row>
    <row r="6763" spans="1:3" ht="31.5" x14ac:dyDescent="0.25">
      <c r="A6763" s="44" t="s">
        <v>11195</v>
      </c>
      <c r="B6763" s="66" t="s">
        <v>9293</v>
      </c>
      <c r="C6763" s="83">
        <v>619</v>
      </c>
    </row>
    <row r="6764" spans="1:3" ht="31.5" x14ac:dyDescent="0.25">
      <c r="A6764" s="44" t="s">
        <v>11196</v>
      </c>
      <c r="B6764" s="66" t="s">
        <v>9295</v>
      </c>
      <c r="C6764" s="83">
        <v>619</v>
      </c>
    </row>
    <row r="6765" spans="1:3" ht="31.5" x14ac:dyDescent="0.25">
      <c r="A6765" s="44" t="s">
        <v>11197</v>
      </c>
      <c r="B6765" s="66" t="s">
        <v>9297</v>
      </c>
      <c r="C6765" s="83">
        <v>619</v>
      </c>
    </row>
    <row r="6766" spans="1:3" ht="31.5" x14ac:dyDescent="0.25">
      <c r="A6766" s="44" t="s">
        <v>11198</v>
      </c>
      <c r="B6766" s="66" t="s">
        <v>9299</v>
      </c>
      <c r="C6766" s="83">
        <v>619</v>
      </c>
    </row>
    <row r="6767" spans="1:3" ht="31.5" x14ac:dyDescent="0.25">
      <c r="A6767" s="44" t="s">
        <v>11199</v>
      </c>
      <c r="B6767" s="66" t="s">
        <v>9301</v>
      </c>
      <c r="C6767" s="83">
        <v>619</v>
      </c>
    </row>
    <row r="6768" spans="1:3" x14ac:dyDescent="0.25">
      <c r="A6768" s="126"/>
      <c r="B6768" s="198" t="s">
        <v>9251</v>
      </c>
    </row>
    <row r="6769" spans="1:3" x14ac:dyDescent="0.25">
      <c r="A6769" s="126"/>
      <c r="B6769" s="198"/>
    </row>
    <row r="6770" spans="1:3" x14ac:dyDescent="0.25">
      <c r="A6770" s="126"/>
      <c r="B6770" s="235" t="s">
        <v>11174</v>
      </c>
    </row>
    <row r="6771" spans="1:3" x14ac:dyDescent="0.25">
      <c r="A6771" s="126"/>
      <c r="B6771" s="198" t="s">
        <v>9273</v>
      </c>
    </row>
    <row r="6772" spans="1:3" ht="36" x14ac:dyDescent="0.25">
      <c r="A6772" s="202"/>
      <c r="B6772" s="193" t="s">
        <v>15801</v>
      </c>
      <c r="C6772" s="233"/>
    </row>
    <row r="6773" spans="1:3" ht="31.5" x14ac:dyDescent="0.25">
      <c r="A6773" s="44" t="s">
        <v>11200</v>
      </c>
      <c r="B6773" s="66" t="s">
        <v>9303</v>
      </c>
      <c r="C6773" s="83">
        <v>629</v>
      </c>
    </row>
    <row r="6774" spans="1:3" ht="31.5" x14ac:dyDescent="0.25">
      <c r="A6774" s="44" t="s">
        <v>9304</v>
      </c>
      <c r="B6774" s="66" t="s">
        <v>9305</v>
      </c>
      <c r="C6774" s="83">
        <v>0</v>
      </c>
    </row>
    <row r="6775" spans="1:3" ht="31.5" x14ac:dyDescent="0.25">
      <c r="A6775" s="44" t="s">
        <v>11201</v>
      </c>
      <c r="B6775" s="66" t="s">
        <v>9307</v>
      </c>
      <c r="C6775" s="83">
        <v>629</v>
      </c>
    </row>
    <row r="6776" spans="1:3" ht="31.5" x14ac:dyDescent="0.25">
      <c r="A6776" s="44" t="s">
        <v>9304</v>
      </c>
      <c r="B6776" s="66" t="s">
        <v>9308</v>
      </c>
      <c r="C6776" s="83">
        <v>0</v>
      </c>
    </row>
    <row r="6777" spans="1:3" ht="31.5" x14ac:dyDescent="0.25">
      <c r="A6777" s="44" t="s">
        <v>11202</v>
      </c>
      <c r="B6777" s="66" t="s">
        <v>9310</v>
      </c>
      <c r="C6777" s="83">
        <v>629</v>
      </c>
    </row>
    <row r="6778" spans="1:3" ht="31.5" x14ac:dyDescent="0.25">
      <c r="A6778" s="44" t="s">
        <v>11203</v>
      </c>
      <c r="B6778" s="66" t="s">
        <v>9312</v>
      </c>
      <c r="C6778" s="83">
        <v>629</v>
      </c>
    </row>
    <row r="6779" spans="1:3" ht="31.5" x14ac:dyDescent="0.25">
      <c r="A6779" s="44" t="s">
        <v>11204</v>
      </c>
      <c r="B6779" s="66" t="s">
        <v>9314</v>
      </c>
      <c r="C6779" s="83">
        <v>629</v>
      </c>
    </row>
    <row r="6780" spans="1:3" x14ac:dyDescent="0.25">
      <c r="A6780" s="194" t="s">
        <v>9315</v>
      </c>
      <c r="B6780" s="72"/>
    </row>
    <row r="6781" spans="1:3" x14ac:dyDescent="0.25">
      <c r="A6781" s="69"/>
      <c r="B6781" s="72"/>
    </row>
    <row r="6782" spans="1:3" x14ac:dyDescent="0.25">
      <c r="A6782" s="71"/>
      <c r="B6782" s="235" t="s">
        <v>11205</v>
      </c>
    </row>
    <row r="6783" spans="1:3" ht="36" x14ac:dyDescent="0.25">
      <c r="A6783" s="218"/>
      <c r="B6783" s="219" t="s">
        <v>11089</v>
      </c>
      <c r="C6783" s="233"/>
    </row>
    <row r="6784" spans="1:3" ht="47.25" x14ac:dyDescent="0.25">
      <c r="A6784" s="127" t="s">
        <v>11206</v>
      </c>
      <c r="B6784" s="154" t="s">
        <v>9248</v>
      </c>
      <c r="C6784" s="83">
        <v>579</v>
      </c>
    </row>
    <row r="6785" spans="1:3" ht="47.25" x14ac:dyDescent="0.25">
      <c r="A6785" s="127" t="s">
        <v>11207</v>
      </c>
      <c r="B6785" s="154" t="s">
        <v>9634</v>
      </c>
      <c r="C6785" s="83">
        <v>579</v>
      </c>
    </row>
    <row r="6786" spans="1:3" x14ac:dyDescent="0.25">
      <c r="A6786" s="71"/>
      <c r="B6786" s="212" t="s">
        <v>9251</v>
      </c>
    </row>
    <row r="6787" spans="1:3" x14ac:dyDescent="0.25">
      <c r="A6787" s="71"/>
      <c r="B6787" s="212"/>
    </row>
    <row r="6788" spans="1:3" x14ac:dyDescent="0.25">
      <c r="A6788" s="71"/>
      <c r="B6788" s="235" t="s">
        <v>11205</v>
      </c>
    </row>
    <row r="6789" spans="1:3" ht="72" x14ac:dyDescent="0.25">
      <c r="A6789" s="218"/>
      <c r="B6789" s="219" t="s">
        <v>11092</v>
      </c>
      <c r="C6789" s="233"/>
    </row>
    <row r="6790" spans="1:3" ht="31.5" x14ac:dyDescent="0.25">
      <c r="A6790" s="127" t="s">
        <v>11208</v>
      </c>
      <c r="B6790" s="66" t="s">
        <v>9254</v>
      </c>
      <c r="C6790" s="83">
        <v>949</v>
      </c>
    </row>
    <row r="6791" spans="1:3" ht="31.5" x14ac:dyDescent="0.25">
      <c r="A6791" s="127" t="s">
        <v>11209</v>
      </c>
      <c r="B6791" s="66" t="s">
        <v>9256</v>
      </c>
      <c r="C6791" s="83">
        <v>949</v>
      </c>
    </row>
    <row r="6792" spans="1:3" ht="31.5" x14ac:dyDescent="0.25">
      <c r="A6792" s="127" t="s">
        <v>11210</v>
      </c>
      <c r="B6792" s="66" t="s">
        <v>9258</v>
      </c>
      <c r="C6792" s="83">
        <v>1029</v>
      </c>
    </row>
    <row r="6793" spans="1:3" x14ac:dyDescent="0.25">
      <c r="A6793" s="71"/>
      <c r="B6793" s="212" t="s">
        <v>9251</v>
      </c>
    </row>
    <row r="6794" spans="1:3" x14ac:dyDescent="0.25">
      <c r="A6794" s="71"/>
      <c r="B6794" s="212"/>
    </row>
    <row r="6795" spans="1:3" x14ac:dyDescent="0.25">
      <c r="A6795" s="71"/>
      <c r="B6795" s="235" t="s">
        <v>11205</v>
      </c>
    </row>
    <row r="6796" spans="1:3" ht="72" x14ac:dyDescent="0.25">
      <c r="A6796" s="218"/>
      <c r="B6796" s="219" t="s">
        <v>11096</v>
      </c>
      <c r="C6796" s="233"/>
    </row>
    <row r="6797" spans="1:3" ht="31.5" x14ac:dyDescent="0.25">
      <c r="A6797" s="127" t="s">
        <v>11211</v>
      </c>
      <c r="B6797" s="66" t="s">
        <v>9261</v>
      </c>
      <c r="C6797" s="83">
        <v>1179</v>
      </c>
    </row>
    <row r="6798" spans="1:3" ht="31.5" x14ac:dyDescent="0.25">
      <c r="A6798" s="127" t="s">
        <v>11212</v>
      </c>
      <c r="B6798" s="66" t="s">
        <v>9263</v>
      </c>
      <c r="C6798" s="83">
        <v>1179</v>
      </c>
    </row>
    <row r="6799" spans="1:3" ht="31.5" x14ac:dyDescent="0.25">
      <c r="A6799" s="127" t="s">
        <v>11213</v>
      </c>
      <c r="B6799" s="66" t="s">
        <v>9265</v>
      </c>
      <c r="C6799" s="83">
        <v>1339</v>
      </c>
    </row>
    <row r="6800" spans="1:3" x14ac:dyDescent="0.25">
      <c r="A6800" s="71"/>
      <c r="B6800" s="212" t="s">
        <v>9251</v>
      </c>
    </row>
    <row r="6801" spans="1:3" x14ac:dyDescent="0.25">
      <c r="A6801" s="71"/>
      <c r="B6801" s="212"/>
    </row>
    <row r="6802" spans="1:3" x14ac:dyDescent="0.25">
      <c r="A6802" s="71"/>
      <c r="B6802" s="235" t="s">
        <v>11205</v>
      </c>
    </row>
    <row r="6803" spans="1:3" ht="54" x14ac:dyDescent="0.25">
      <c r="A6803" s="200"/>
      <c r="B6803" s="193" t="s">
        <v>9266</v>
      </c>
      <c r="C6803" s="233"/>
    </row>
    <row r="6804" spans="1:3" ht="31.5" x14ac:dyDescent="0.25">
      <c r="A6804" s="44" t="s">
        <v>11214</v>
      </c>
      <c r="B6804" s="66" t="s">
        <v>9268</v>
      </c>
      <c r="C6804" s="83">
        <v>1459</v>
      </c>
    </row>
    <row r="6805" spans="1:3" ht="31.5" x14ac:dyDescent="0.25">
      <c r="A6805" s="44" t="s">
        <v>11215</v>
      </c>
      <c r="B6805" s="66" t="s">
        <v>9270</v>
      </c>
      <c r="C6805" s="83">
        <v>1459</v>
      </c>
    </row>
    <row r="6806" spans="1:3" ht="31.5" x14ac:dyDescent="0.25">
      <c r="A6806" s="44" t="s">
        <v>11216</v>
      </c>
      <c r="B6806" s="66" t="s">
        <v>9272</v>
      </c>
      <c r="C6806" s="83">
        <v>1689</v>
      </c>
    </row>
    <row r="6807" spans="1:3" x14ac:dyDescent="0.25">
      <c r="A6807" s="129"/>
      <c r="B6807" s="247"/>
    </row>
    <row r="6808" spans="1:3" x14ac:dyDescent="0.25">
      <c r="A6808" s="71"/>
      <c r="B6808" s="235" t="s">
        <v>11205</v>
      </c>
    </row>
    <row r="6809" spans="1:3" x14ac:dyDescent="0.25">
      <c r="A6809" s="126"/>
      <c r="B6809" s="198" t="s">
        <v>9273</v>
      </c>
    </row>
    <row r="6810" spans="1:3" ht="36" x14ac:dyDescent="0.25">
      <c r="A6810" s="202"/>
      <c r="B6810" s="193" t="s">
        <v>15799</v>
      </c>
      <c r="C6810" s="233"/>
    </row>
    <row r="6811" spans="1:3" ht="31.5" x14ac:dyDescent="0.25">
      <c r="A6811" s="44" t="s">
        <v>11217</v>
      </c>
      <c r="B6811" s="66" t="s">
        <v>9275</v>
      </c>
      <c r="C6811" s="83">
        <v>609</v>
      </c>
    </row>
    <row r="6812" spans="1:3" ht="31.5" x14ac:dyDescent="0.25">
      <c r="A6812" s="44" t="s">
        <v>11218</v>
      </c>
      <c r="B6812" s="66" t="s">
        <v>9277</v>
      </c>
      <c r="C6812" s="83">
        <v>609</v>
      </c>
    </row>
    <row r="6813" spans="1:3" ht="31.5" x14ac:dyDescent="0.25">
      <c r="A6813" s="44" t="s">
        <v>11219</v>
      </c>
      <c r="B6813" s="66" t="s">
        <v>9279</v>
      </c>
      <c r="C6813" s="83">
        <v>609</v>
      </c>
    </row>
    <row r="6814" spans="1:3" ht="31.5" x14ac:dyDescent="0.25">
      <c r="A6814" s="44" t="s">
        <v>11220</v>
      </c>
      <c r="B6814" s="66" t="s">
        <v>9281</v>
      </c>
      <c r="C6814" s="83">
        <v>609</v>
      </c>
    </row>
    <row r="6815" spans="1:3" ht="31.5" x14ac:dyDescent="0.25">
      <c r="A6815" s="44" t="s">
        <v>11221</v>
      </c>
      <c r="B6815" s="66" t="s">
        <v>9283</v>
      </c>
      <c r="C6815" s="83">
        <v>609</v>
      </c>
    </row>
    <row r="6816" spans="1:3" ht="31.5" x14ac:dyDescent="0.25">
      <c r="A6816" s="44" t="s">
        <v>11222</v>
      </c>
      <c r="B6816" s="66" t="s">
        <v>9285</v>
      </c>
      <c r="C6816" s="83">
        <v>609</v>
      </c>
    </row>
    <row r="6817" spans="1:3" ht="31.5" x14ac:dyDescent="0.25">
      <c r="A6817" s="44" t="s">
        <v>11223</v>
      </c>
      <c r="B6817" s="66" t="s">
        <v>9287</v>
      </c>
      <c r="C6817" s="83">
        <v>609</v>
      </c>
    </row>
    <row r="6818" spans="1:3" x14ac:dyDescent="0.25">
      <c r="A6818" s="126"/>
      <c r="B6818" s="198" t="s">
        <v>9251</v>
      </c>
    </row>
    <row r="6819" spans="1:3" x14ac:dyDescent="0.25">
      <c r="A6819" s="126"/>
      <c r="B6819" s="198"/>
    </row>
    <row r="6820" spans="1:3" x14ac:dyDescent="0.25">
      <c r="A6820" s="126"/>
      <c r="B6820" s="235" t="s">
        <v>11205</v>
      </c>
    </row>
    <row r="6821" spans="1:3" x14ac:dyDescent="0.25">
      <c r="A6821" s="126"/>
      <c r="B6821" s="198" t="s">
        <v>9273</v>
      </c>
    </row>
    <row r="6822" spans="1:3" ht="36" x14ac:dyDescent="0.25">
      <c r="A6822" s="202"/>
      <c r="B6822" s="193" t="s">
        <v>15800</v>
      </c>
      <c r="C6822" s="233"/>
    </row>
    <row r="6823" spans="1:3" ht="31.5" x14ac:dyDescent="0.25">
      <c r="A6823" s="44" t="s">
        <v>11224</v>
      </c>
      <c r="B6823" s="66" t="s">
        <v>9289</v>
      </c>
      <c r="C6823" s="83">
        <v>619</v>
      </c>
    </row>
    <row r="6824" spans="1:3" ht="31.5" x14ac:dyDescent="0.25">
      <c r="A6824" s="44" t="s">
        <v>11225</v>
      </c>
      <c r="B6824" s="66" t="s">
        <v>9291</v>
      </c>
      <c r="C6824" s="83">
        <v>619</v>
      </c>
    </row>
    <row r="6825" spans="1:3" ht="31.5" x14ac:dyDescent="0.25">
      <c r="A6825" s="44" t="s">
        <v>11226</v>
      </c>
      <c r="B6825" s="66" t="s">
        <v>9293</v>
      </c>
      <c r="C6825" s="83">
        <v>619</v>
      </c>
    </row>
    <row r="6826" spans="1:3" ht="31.5" x14ac:dyDescent="0.25">
      <c r="A6826" s="44" t="s">
        <v>11227</v>
      </c>
      <c r="B6826" s="66" t="s">
        <v>9295</v>
      </c>
      <c r="C6826" s="83">
        <v>619</v>
      </c>
    </row>
    <row r="6827" spans="1:3" ht="31.5" x14ac:dyDescent="0.25">
      <c r="A6827" s="44" t="s">
        <v>11228</v>
      </c>
      <c r="B6827" s="66" t="s">
        <v>9297</v>
      </c>
      <c r="C6827" s="83">
        <v>619</v>
      </c>
    </row>
    <row r="6828" spans="1:3" ht="31.5" x14ac:dyDescent="0.25">
      <c r="A6828" s="44" t="s">
        <v>11229</v>
      </c>
      <c r="B6828" s="66" t="s">
        <v>9299</v>
      </c>
      <c r="C6828" s="83">
        <v>619</v>
      </c>
    </row>
    <row r="6829" spans="1:3" ht="31.5" x14ac:dyDescent="0.25">
      <c r="A6829" s="44" t="s">
        <v>11230</v>
      </c>
      <c r="B6829" s="66" t="s">
        <v>9301</v>
      </c>
      <c r="C6829" s="83">
        <v>619</v>
      </c>
    </row>
    <row r="6830" spans="1:3" x14ac:dyDescent="0.25">
      <c r="A6830" s="126"/>
      <c r="B6830" s="198" t="s">
        <v>9251</v>
      </c>
    </row>
    <row r="6831" spans="1:3" x14ac:dyDescent="0.25">
      <c r="A6831" s="126"/>
      <c r="B6831" s="198"/>
    </row>
    <row r="6832" spans="1:3" x14ac:dyDescent="0.25">
      <c r="A6832" s="126"/>
      <c r="B6832" s="235" t="s">
        <v>11205</v>
      </c>
    </row>
    <row r="6833" spans="1:3" x14ac:dyDescent="0.25">
      <c r="A6833" s="126"/>
      <c r="B6833" s="198" t="s">
        <v>9273</v>
      </c>
    </row>
    <row r="6834" spans="1:3" ht="36" x14ac:dyDescent="0.25">
      <c r="A6834" s="202"/>
      <c r="B6834" s="193" t="s">
        <v>15801</v>
      </c>
      <c r="C6834" s="233"/>
    </row>
    <row r="6835" spans="1:3" ht="31.5" x14ac:dyDescent="0.25">
      <c r="A6835" s="44" t="s">
        <v>11231</v>
      </c>
      <c r="B6835" s="66" t="s">
        <v>9303</v>
      </c>
      <c r="C6835" s="83">
        <v>629</v>
      </c>
    </row>
    <row r="6836" spans="1:3" ht="31.5" x14ac:dyDescent="0.25">
      <c r="A6836" s="44" t="s">
        <v>9304</v>
      </c>
      <c r="B6836" s="66" t="s">
        <v>9305</v>
      </c>
      <c r="C6836" s="83">
        <v>0</v>
      </c>
    </row>
    <row r="6837" spans="1:3" ht="31.5" x14ac:dyDescent="0.25">
      <c r="A6837" s="44" t="s">
        <v>11232</v>
      </c>
      <c r="B6837" s="66" t="s">
        <v>9307</v>
      </c>
      <c r="C6837" s="83">
        <v>629</v>
      </c>
    </row>
    <row r="6838" spans="1:3" ht="31.5" x14ac:dyDescent="0.25">
      <c r="A6838" s="44" t="s">
        <v>9304</v>
      </c>
      <c r="B6838" s="66" t="s">
        <v>9308</v>
      </c>
      <c r="C6838" s="83">
        <v>0</v>
      </c>
    </row>
    <row r="6839" spans="1:3" ht="31.5" x14ac:dyDescent="0.25">
      <c r="A6839" s="44" t="s">
        <v>11233</v>
      </c>
      <c r="B6839" s="66" t="s">
        <v>9310</v>
      </c>
      <c r="C6839" s="83">
        <v>629</v>
      </c>
    </row>
    <row r="6840" spans="1:3" ht="31.5" x14ac:dyDescent="0.25">
      <c r="A6840" s="44" t="s">
        <v>11234</v>
      </c>
      <c r="B6840" s="66" t="s">
        <v>9312</v>
      </c>
      <c r="C6840" s="83">
        <v>629</v>
      </c>
    </row>
    <row r="6841" spans="1:3" ht="31.5" x14ac:dyDescent="0.25">
      <c r="A6841" s="44" t="s">
        <v>11235</v>
      </c>
      <c r="B6841" s="66" t="s">
        <v>9314</v>
      </c>
      <c r="C6841" s="83">
        <v>629</v>
      </c>
    </row>
    <row r="6842" spans="1:3" x14ac:dyDescent="0.25">
      <c r="A6842" s="194" t="s">
        <v>9315</v>
      </c>
      <c r="B6842" s="247"/>
    </row>
    <row r="6843" spans="1:3" x14ac:dyDescent="0.25">
      <c r="A6843" s="194"/>
      <c r="B6843" s="247"/>
    </row>
    <row r="6844" spans="1:3" x14ac:dyDescent="0.25">
      <c r="A6844" s="211"/>
      <c r="B6844" s="235" t="s">
        <v>11174</v>
      </c>
    </row>
    <row r="6845" spans="1:3" ht="18" x14ac:dyDescent="0.25">
      <c r="A6845" s="218"/>
      <c r="B6845" s="219" t="s">
        <v>9328</v>
      </c>
      <c r="C6845" s="233"/>
    </row>
    <row r="6846" spans="1:3" ht="31.5" x14ac:dyDescent="0.25">
      <c r="A6846" s="127" t="s">
        <v>11236</v>
      </c>
      <c r="B6846" s="154" t="s">
        <v>9937</v>
      </c>
      <c r="C6846" s="83">
        <v>459</v>
      </c>
    </row>
    <row r="6847" spans="1:3" x14ac:dyDescent="0.25">
      <c r="A6847" s="128"/>
      <c r="B6847" s="153"/>
    </row>
    <row r="6848" spans="1:3" x14ac:dyDescent="0.25">
      <c r="A6848" s="128"/>
      <c r="B6848" s="235" t="s">
        <v>11237</v>
      </c>
    </row>
    <row r="6849" spans="1:3" ht="36" x14ac:dyDescent="0.25">
      <c r="A6849" s="218"/>
      <c r="B6849" s="219" t="s">
        <v>11238</v>
      </c>
      <c r="C6849" s="233"/>
    </row>
    <row r="6850" spans="1:3" ht="47.25" x14ac:dyDescent="0.25">
      <c r="A6850" s="127" t="s">
        <v>11239</v>
      </c>
      <c r="B6850" s="154" t="s">
        <v>9832</v>
      </c>
      <c r="C6850" s="83">
        <v>249</v>
      </c>
    </row>
    <row r="6851" spans="1:3" x14ac:dyDescent="0.25">
      <c r="A6851" s="128"/>
      <c r="B6851" s="153"/>
    </row>
    <row r="6852" spans="1:3" ht="18" x14ac:dyDescent="0.25">
      <c r="A6852" s="218"/>
      <c r="B6852" s="219" t="s">
        <v>9347</v>
      </c>
      <c r="C6852" s="233"/>
    </row>
    <row r="6853" spans="1:3" ht="78.75" x14ac:dyDescent="0.25">
      <c r="A6853" s="127" t="s">
        <v>11240</v>
      </c>
      <c r="B6853" s="4" t="s">
        <v>11125</v>
      </c>
      <c r="C6853" s="83">
        <v>359</v>
      </c>
    </row>
    <row r="6854" spans="1:3" ht="78.75" x14ac:dyDescent="0.25">
      <c r="A6854" s="127" t="s">
        <v>11241</v>
      </c>
      <c r="B6854" s="4" t="s">
        <v>11127</v>
      </c>
      <c r="C6854" s="83">
        <v>409</v>
      </c>
    </row>
    <row r="6855" spans="1:3" ht="94.5" x14ac:dyDescent="0.25">
      <c r="A6855" s="127" t="s">
        <v>11152</v>
      </c>
      <c r="B6855" s="4" t="s">
        <v>11242</v>
      </c>
      <c r="C6855" s="83">
        <v>329</v>
      </c>
    </row>
    <row r="6856" spans="1:3" x14ac:dyDescent="0.25">
      <c r="A6856" s="128"/>
      <c r="B6856" s="73"/>
    </row>
    <row r="6857" spans="1:3" ht="18" x14ac:dyDescent="0.25">
      <c r="A6857" s="225"/>
      <c r="B6857" s="219" t="s">
        <v>11243</v>
      </c>
      <c r="C6857" s="233"/>
    </row>
    <row r="6858" spans="1:3" ht="31.5" x14ac:dyDescent="0.25">
      <c r="A6858" s="127" t="s">
        <v>11244</v>
      </c>
      <c r="B6858" s="4" t="s">
        <v>11136</v>
      </c>
      <c r="C6858" s="83">
        <v>259</v>
      </c>
    </row>
    <row r="6859" spans="1:3" x14ac:dyDescent="0.25">
      <c r="A6859" s="156"/>
      <c r="B6859" s="111"/>
    </row>
    <row r="6860" spans="1:3" ht="47.25" x14ac:dyDescent="0.25">
      <c r="A6860" s="156"/>
      <c r="B6860" s="73" t="s">
        <v>11245</v>
      </c>
    </row>
    <row r="6861" spans="1:3" ht="31.5" x14ac:dyDescent="0.25">
      <c r="A6861" s="74" t="s">
        <v>11246</v>
      </c>
      <c r="B6861" s="4" t="s">
        <v>9390</v>
      </c>
      <c r="C6861" s="83">
        <v>379</v>
      </c>
    </row>
    <row r="6862" spans="1:3" x14ac:dyDescent="0.25">
      <c r="A6862" s="75"/>
      <c r="B6862" s="73"/>
    </row>
    <row r="6863" spans="1:3" x14ac:dyDescent="0.25">
      <c r="A6863" s="71"/>
      <c r="B6863" s="212" t="s">
        <v>11145</v>
      </c>
    </row>
    <row r="6864" spans="1:3" ht="36" x14ac:dyDescent="0.25">
      <c r="A6864" s="218"/>
      <c r="B6864" s="219" t="s">
        <v>10022</v>
      </c>
      <c r="C6864" s="233"/>
    </row>
    <row r="6865" spans="1:3" ht="204.75" x14ac:dyDescent="0.25">
      <c r="A6865" s="127" t="s">
        <v>11247</v>
      </c>
      <c r="B6865" s="4" t="s">
        <v>11248</v>
      </c>
      <c r="C6865" s="83">
        <v>2809</v>
      </c>
    </row>
    <row r="6866" spans="1:3" x14ac:dyDescent="0.25">
      <c r="A6866" s="71"/>
      <c r="B6866" s="133"/>
    </row>
    <row r="6867" spans="1:3" x14ac:dyDescent="0.25">
      <c r="A6867" s="71"/>
      <c r="B6867" s="212" t="s">
        <v>11145</v>
      </c>
    </row>
    <row r="6868" spans="1:3" ht="36" x14ac:dyDescent="0.25">
      <c r="A6868" s="218"/>
      <c r="B6868" s="219" t="s">
        <v>15804</v>
      </c>
      <c r="C6868" s="233"/>
    </row>
    <row r="6869" spans="1:3" ht="47.25" x14ac:dyDescent="0.25">
      <c r="A6869" s="127" t="s">
        <v>11249</v>
      </c>
      <c r="B6869" s="137" t="s">
        <v>11250</v>
      </c>
      <c r="C6869" s="83">
        <v>339</v>
      </c>
    </row>
    <row r="6870" spans="1:3" x14ac:dyDescent="0.25">
      <c r="A6870" s="127" t="s">
        <v>11251</v>
      </c>
      <c r="B6870" s="4" t="s">
        <v>9587</v>
      </c>
      <c r="C6870" s="83">
        <v>149</v>
      </c>
    </row>
    <row r="6871" spans="1:3" x14ac:dyDescent="0.25">
      <c r="A6871" s="127" t="s">
        <v>11152</v>
      </c>
      <c r="B6871" s="4" t="s">
        <v>9588</v>
      </c>
      <c r="C6871" s="83">
        <v>329</v>
      </c>
    </row>
    <row r="6872" spans="1:3" x14ac:dyDescent="0.25">
      <c r="A6872" s="71"/>
      <c r="B6872" s="139"/>
    </row>
    <row r="6873" spans="1:3" x14ac:dyDescent="0.25">
      <c r="A6873" s="71"/>
      <c r="B6873" s="212" t="s">
        <v>9589</v>
      </c>
    </row>
    <row r="6874" spans="1:3" ht="36" x14ac:dyDescent="0.25">
      <c r="A6874" s="218"/>
      <c r="B6874" s="219" t="s">
        <v>10031</v>
      </c>
      <c r="C6874" s="233"/>
    </row>
    <row r="6875" spans="1:3" ht="267.75" x14ac:dyDescent="0.25">
      <c r="A6875" s="127" t="s">
        <v>11252</v>
      </c>
      <c r="B6875" s="4" t="s">
        <v>11253</v>
      </c>
      <c r="C6875" s="83">
        <v>3229</v>
      </c>
    </row>
    <row r="6876" spans="1:3" x14ac:dyDescent="0.25">
      <c r="B6876" s="133"/>
      <c r="C6876" s="91"/>
    </row>
    <row r="6877" spans="1:3" ht="36" x14ac:dyDescent="0.25">
      <c r="A6877" s="225" t="s">
        <v>9122</v>
      </c>
      <c r="B6877" s="228" t="s">
        <v>9849</v>
      </c>
      <c r="C6877" s="229"/>
    </row>
    <row r="6878" spans="1:3" ht="47.25" x14ac:dyDescent="0.25">
      <c r="A6878" s="127" t="s">
        <v>11254</v>
      </c>
      <c r="B6878" s="4" t="s">
        <v>9684</v>
      </c>
      <c r="C6878" s="83">
        <v>839</v>
      </c>
    </row>
    <row r="6879" spans="1:3" ht="47.25" x14ac:dyDescent="0.25">
      <c r="A6879" s="127" t="s">
        <v>11255</v>
      </c>
      <c r="B6879" s="4" t="s">
        <v>9686</v>
      </c>
      <c r="C6879" s="83">
        <v>799</v>
      </c>
    </row>
    <row r="6880" spans="1:3" ht="47.25" x14ac:dyDescent="0.25">
      <c r="A6880" s="127" t="s">
        <v>11256</v>
      </c>
      <c r="B6880" s="4" t="s">
        <v>9853</v>
      </c>
      <c r="C6880" s="83">
        <v>899</v>
      </c>
    </row>
    <row r="6881" spans="1:3" ht="47.25" x14ac:dyDescent="0.25">
      <c r="A6881" s="127" t="s">
        <v>11257</v>
      </c>
      <c r="B6881" s="4" t="s">
        <v>9690</v>
      </c>
      <c r="C6881" s="83">
        <v>819</v>
      </c>
    </row>
    <row r="6882" spans="1:3" ht="47.25" x14ac:dyDescent="0.25">
      <c r="A6882" s="127" t="s">
        <v>11258</v>
      </c>
      <c r="B6882" s="4" t="s">
        <v>9692</v>
      </c>
      <c r="C6882" s="83">
        <v>859</v>
      </c>
    </row>
    <row r="6883" spans="1:3" ht="47.25" x14ac:dyDescent="0.25">
      <c r="A6883" s="127" t="s">
        <v>11259</v>
      </c>
      <c r="B6883" s="4" t="s">
        <v>9694</v>
      </c>
      <c r="C6883" s="83">
        <v>819</v>
      </c>
    </row>
    <row r="6884" spans="1:3" ht="18" x14ac:dyDescent="0.25">
      <c r="A6884" s="225" t="s">
        <v>9136</v>
      </c>
      <c r="B6884" s="238"/>
      <c r="C6884" s="233"/>
    </row>
    <row r="6885" spans="1:3" ht="47.25" x14ac:dyDescent="0.25">
      <c r="A6885" s="127" t="s">
        <v>11260</v>
      </c>
      <c r="B6885" s="4" t="s">
        <v>9696</v>
      </c>
      <c r="C6885" s="83">
        <v>959</v>
      </c>
    </row>
    <row r="6886" spans="1:3" ht="47.25" x14ac:dyDescent="0.25">
      <c r="A6886" s="127" t="s">
        <v>11261</v>
      </c>
      <c r="B6886" s="4" t="s">
        <v>9859</v>
      </c>
      <c r="C6886" s="83">
        <v>919</v>
      </c>
    </row>
    <row r="6887" spans="1:3" ht="63" x14ac:dyDescent="0.25">
      <c r="A6887" s="127" t="s">
        <v>11262</v>
      </c>
      <c r="B6887" s="4" t="s">
        <v>9861</v>
      </c>
      <c r="C6887" s="83">
        <v>1009</v>
      </c>
    </row>
    <row r="6888" spans="1:3" ht="63" x14ac:dyDescent="0.25">
      <c r="A6888" s="127" t="s">
        <v>11263</v>
      </c>
      <c r="B6888" s="4" t="s">
        <v>9863</v>
      </c>
      <c r="C6888" s="83">
        <v>969</v>
      </c>
    </row>
    <row r="6889" spans="1:3" ht="63" x14ac:dyDescent="0.25">
      <c r="A6889" s="127" t="s">
        <v>11264</v>
      </c>
      <c r="B6889" s="4" t="s">
        <v>10245</v>
      </c>
      <c r="C6889" s="83">
        <v>999</v>
      </c>
    </row>
    <row r="6890" spans="1:3" ht="63" x14ac:dyDescent="0.25">
      <c r="A6890" s="127" t="s">
        <v>11265</v>
      </c>
      <c r="B6890" s="4" t="s">
        <v>9702</v>
      </c>
      <c r="C6890" s="83">
        <v>959</v>
      </c>
    </row>
    <row r="6891" spans="1:3" ht="36" x14ac:dyDescent="0.25">
      <c r="A6891" s="225" t="s">
        <v>9122</v>
      </c>
      <c r="B6891" s="228" t="s">
        <v>9149</v>
      </c>
      <c r="C6891" s="233"/>
    </row>
    <row r="6892" spans="1:3" ht="78.75" x14ac:dyDescent="0.25">
      <c r="A6892" s="127" t="s">
        <v>11266</v>
      </c>
      <c r="B6892" s="4" t="s">
        <v>11267</v>
      </c>
      <c r="C6892" s="83">
        <v>999</v>
      </c>
    </row>
    <row r="6893" spans="1:3" ht="78.75" x14ac:dyDescent="0.25">
      <c r="A6893" s="127" t="s">
        <v>11268</v>
      </c>
      <c r="B6893" s="4" t="s">
        <v>11269</v>
      </c>
      <c r="C6893" s="83">
        <v>959</v>
      </c>
    </row>
    <row r="6894" spans="1:3" ht="78.75" x14ac:dyDescent="0.25">
      <c r="A6894" s="127" t="s">
        <v>11270</v>
      </c>
      <c r="B6894" s="4" t="s">
        <v>11271</v>
      </c>
      <c r="C6894" s="83">
        <v>1049</v>
      </c>
    </row>
    <row r="6895" spans="1:3" ht="78.75" x14ac:dyDescent="0.25">
      <c r="A6895" s="127" t="s">
        <v>11272</v>
      </c>
      <c r="B6895" s="4" t="s">
        <v>11273</v>
      </c>
      <c r="C6895" s="83">
        <v>979</v>
      </c>
    </row>
    <row r="6896" spans="1:3" ht="78.75" x14ac:dyDescent="0.25">
      <c r="A6896" s="127" t="s">
        <v>11274</v>
      </c>
      <c r="B6896" s="4" t="s">
        <v>11275</v>
      </c>
      <c r="C6896" s="83">
        <v>1009</v>
      </c>
    </row>
    <row r="6897" spans="1:3" ht="78.75" x14ac:dyDescent="0.25">
      <c r="A6897" s="127" t="s">
        <v>11276</v>
      </c>
      <c r="B6897" s="4" t="s">
        <v>11277</v>
      </c>
      <c r="C6897" s="83">
        <v>969</v>
      </c>
    </row>
    <row r="6898" spans="1:3" ht="18" x14ac:dyDescent="0.25">
      <c r="A6898" s="225" t="s">
        <v>9162</v>
      </c>
      <c r="B6898" s="238"/>
      <c r="C6898" s="233"/>
    </row>
    <row r="6899" spans="1:3" ht="78.75" x14ac:dyDescent="0.25">
      <c r="A6899" s="127" t="s">
        <v>11278</v>
      </c>
      <c r="B6899" s="4" t="s">
        <v>11279</v>
      </c>
      <c r="C6899" s="83">
        <v>1099</v>
      </c>
    </row>
    <row r="6900" spans="1:3" ht="78.75" x14ac:dyDescent="0.25">
      <c r="A6900" s="127" t="s">
        <v>11280</v>
      </c>
      <c r="B6900" s="4" t="s">
        <v>11281</v>
      </c>
      <c r="C6900" s="83">
        <v>1059</v>
      </c>
    </row>
    <row r="6901" spans="1:3" ht="94.5" x14ac:dyDescent="0.25">
      <c r="A6901" s="127" t="s">
        <v>11282</v>
      </c>
      <c r="B6901" s="4" t="s">
        <v>11283</v>
      </c>
      <c r="C6901" s="83">
        <v>1149</v>
      </c>
    </row>
    <row r="6902" spans="1:3" ht="94.5" x14ac:dyDescent="0.25">
      <c r="A6902" s="127" t="s">
        <v>11284</v>
      </c>
      <c r="B6902" s="4" t="s">
        <v>11285</v>
      </c>
      <c r="C6902" s="83">
        <v>1109</v>
      </c>
    </row>
    <row r="6903" spans="1:3" ht="94.5" x14ac:dyDescent="0.25">
      <c r="A6903" s="127" t="s">
        <v>11286</v>
      </c>
      <c r="B6903" s="4" t="s">
        <v>11287</v>
      </c>
      <c r="C6903" s="83">
        <v>1139</v>
      </c>
    </row>
    <row r="6904" spans="1:3" ht="94.5" x14ac:dyDescent="0.25">
      <c r="A6904" s="127" t="s">
        <v>11288</v>
      </c>
      <c r="B6904" s="4" t="s">
        <v>11289</v>
      </c>
      <c r="C6904" s="83">
        <v>1099</v>
      </c>
    </row>
    <row r="6905" spans="1:3" x14ac:dyDescent="0.25">
      <c r="A6905" s="194" t="s">
        <v>9199</v>
      </c>
      <c r="B6905" s="239"/>
    </row>
    <row r="6906" spans="1:3" x14ac:dyDescent="0.25">
      <c r="A6906" s="194"/>
      <c r="B6906" s="239"/>
    </row>
    <row r="6907" spans="1:3" x14ac:dyDescent="0.25">
      <c r="A6907" s="211"/>
      <c r="B6907" s="235" t="s">
        <v>11290</v>
      </c>
    </row>
    <row r="6908" spans="1:3" ht="36" x14ac:dyDescent="0.25">
      <c r="A6908" s="231" t="s">
        <v>9200</v>
      </c>
      <c r="B6908" s="219" t="s">
        <v>11291</v>
      </c>
      <c r="C6908" s="233"/>
    </row>
    <row r="6909" spans="1:3" ht="94.5" x14ac:dyDescent="0.25">
      <c r="A6909" s="127" t="s">
        <v>11292</v>
      </c>
      <c r="B6909" s="4" t="s">
        <v>11293</v>
      </c>
      <c r="C6909" s="83">
        <v>1279</v>
      </c>
    </row>
    <row r="6910" spans="1:3" ht="94.5" x14ac:dyDescent="0.25">
      <c r="A6910" s="127" t="s">
        <v>11294</v>
      </c>
      <c r="B6910" s="4" t="s">
        <v>11295</v>
      </c>
      <c r="C6910" s="83">
        <v>1279</v>
      </c>
    </row>
    <row r="6911" spans="1:3" x14ac:dyDescent="0.25">
      <c r="A6911" s="71"/>
      <c r="B6911" s="139"/>
    </row>
    <row r="6912" spans="1:3" ht="36" x14ac:dyDescent="0.25">
      <c r="A6912" s="225" t="s">
        <v>9200</v>
      </c>
      <c r="B6912" s="219" t="s">
        <v>11291</v>
      </c>
      <c r="C6912" s="233"/>
    </row>
    <row r="6913" spans="1:3" ht="94.5" x14ac:dyDescent="0.25">
      <c r="A6913" s="127" t="s">
        <v>11296</v>
      </c>
      <c r="B6913" s="4" t="s">
        <v>11293</v>
      </c>
      <c r="C6913" s="83">
        <v>1279</v>
      </c>
    </row>
    <row r="6914" spans="1:3" ht="94.5" x14ac:dyDescent="0.25">
      <c r="A6914" s="127" t="s">
        <v>11297</v>
      </c>
      <c r="B6914" s="4" t="s">
        <v>11295</v>
      </c>
      <c r="C6914" s="83">
        <v>1279</v>
      </c>
    </row>
    <row r="6915" spans="1:3" x14ac:dyDescent="0.25">
      <c r="A6915" s="128"/>
      <c r="B6915" s="73"/>
    </row>
    <row r="6916" spans="1:3" ht="36" x14ac:dyDescent="0.25">
      <c r="A6916" s="186" t="s">
        <v>9217</v>
      </c>
      <c r="B6916" s="193" t="s">
        <v>9887</v>
      </c>
      <c r="C6916" s="224"/>
    </row>
    <row r="6917" spans="1:3" ht="110.25" x14ac:dyDescent="0.25">
      <c r="A6917" s="127" t="s">
        <v>11298</v>
      </c>
      <c r="B6917" s="66" t="s">
        <v>11088</v>
      </c>
      <c r="C6917" s="83">
        <v>599</v>
      </c>
    </row>
    <row r="6918" spans="1:3" x14ac:dyDescent="0.25">
      <c r="A6918" s="71"/>
      <c r="B6918" s="139"/>
    </row>
    <row r="6919" spans="1:3" ht="36" x14ac:dyDescent="0.25">
      <c r="A6919" s="218"/>
      <c r="B6919" s="219" t="s">
        <v>11089</v>
      </c>
      <c r="C6919" s="233"/>
    </row>
    <row r="6920" spans="1:3" ht="47.25" x14ac:dyDescent="0.25">
      <c r="A6920" s="127" t="s">
        <v>11299</v>
      </c>
      <c r="B6920" s="4" t="s">
        <v>9248</v>
      </c>
      <c r="C6920" s="83">
        <v>579</v>
      </c>
    </row>
    <row r="6921" spans="1:3" ht="47.25" x14ac:dyDescent="0.25">
      <c r="A6921" s="127" t="s">
        <v>11300</v>
      </c>
      <c r="B6921" s="4" t="s">
        <v>9634</v>
      </c>
      <c r="C6921" s="83">
        <v>579</v>
      </c>
    </row>
    <row r="6922" spans="1:3" x14ac:dyDescent="0.25">
      <c r="A6922" s="211"/>
      <c r="B6922" s="212" t="s">
        <v>9251</v>
      </c>
    </row>
    <row r="6923" spans="1:3" x14ac:dyDescent="0.25">
      <c r="A6923" s="71"/>
      <c r="B6923" s="139"/>
    </row>
    <row r="6924" spans="1:3" ht="54" x14ac:dyDescent="0.25">
      <c r="A6924" s="218"/>
      <c r="B6924" s="219" t="s">
        <v>15816</v>
      </c>
      <c r="C6924" s="233"/>
    </row>
    <row r="6925" spans="1:3" ht="78.75" x14ac:dyDescent="0.25">
      <c r="A6925" s="127" t="s">
        <v>11301</v>
      </c>
      <c r="B6925" s="4" t="s">
        <v>15587</v>
      </c>
      <c r="C6925" s="83">
        <v>959</v>
      </c>
    </row>
    <row r="6926" spans="1:3" x14ac:dyDescent="0.25">
      <c r="A6926" s="71"/>
      <c r="B6926" s="139"/>
    </row>
    <row r="6927" spans="1:3" ht="72" x14ac:dyDescent="0.25">
      <c r="A6927" s="218"/>
      <c r="B6927" s="219" t="s">
        <v>11302</v>
      </c>
      <c r="C6927" s="233"/>
    </row>
    <row r="6928" spans="1:3" ht="31.5" x14ac:dyDescent="0.25">
      <c r="A6928" s="127" t="s">
        <v>11303</v>
      </c>
      <c r="B6928" s="66" t="s">
        <v>9254</v>
      </c>
      <c r="C6928" s="83">
        <v>949</v>
      </c>
    </row>
    <row r="6929" spans="1:3" ht="31.5" x14ac:dyDescent="0.25">
      <c r="A6929" s="127" t="s">
        <v>11304</v>
      </c>
      <c r="B6929" s="66" t="s">
        <v>9258</v>
      </c>
      <c r="C6929" s="83">
        <v>1029</v>
      </c>
    </row>
    <row r="6930" spans="1:3" ht="31.5" x14ac:dyDescent="0.25">
      <c r="A6930" s="127" t="s">
        <v>11305</v>
      </c>
      <c r="B6930" s="66" t="s">
        <v>9256</v>
      </c>
      <c r="C6930" s="83">
        <v>949</v>
      </c>
    </row>
    <row r="6931" spans="1:3" x14ac:dyDescent="0.25">
      <c r="A6931" s="71"/>
      <c r="B6931" s="212" t="s">
        <v>9251</v>
      </c>
    </row>
    <row r="6932" spans="1:3" x14ac:dyDescent="0.25">
      <c r="A6932" s="71"/>
      <c r="B6932" s="139"/>
    </row>
    <row r="6933" spans="1:3" ht="72" x14ac:dyDescent="0.25">
      <c r="A6933" s="218"/>
      <c r="B6933" s="219" t="s">
        <v>11096</v>
      </c>
      <c r="C6933" s="233"/>
    </row>
    <row r="6934" spans="1:3" ht="31.5" x14ac:dyDescent="0.25">
      <c r="A6934" s="127" t="s">
        <v>11306</v>
      </c>
      <c r="B6934" s="66" t="s">
        <v>9261</v>
      </c>
      <c r="C6934" s="83">
        <v>1179</v>
      </c>
    </row>
    <row r="6935" spans="1:3" ht="31.5" x14ac:dyDescent="0.25">
      <c r="A6935" s="127" t="s">
        <v>11307</v>
      </c>
      <c r="B6935" s="66" t="s">
        <v>9265</v>
      </c>
      <c r="C6935" s="83">
        <v>1339</v>
      </c>
    </row>
    <row r="6936" spans="1:3" ht="31.5" x14ac:dyDescent="0.25">
      <c r="A6936" s="127" t="s">
        <v>11308</v>
      </c>
      <c r="B6936" s="66" t="s">
        <v>9263</v>
      </c>
      <c r="C6936" s="83">
        <v>1179</v>
      </c>
    </row>
    <row r="6937" spans="1:3" x14ac:dyDescent="0.25">
      <c r="A6937" s="71"/>
      <c r="B6937" s="212" t="s">
        <v>9251</v>
      </c>
    </row>
    <row r="6938" spans="1:3" x14ac:dyDescent="0.25">
      <c r="A6938" s="71"/>
      <c r="B6938" s="131"/>
    </row>
    <row r="6939" spans="1:3" ht="54" x14ac:dyDescent="0.25">
      <c r="A6939" s="200"/>
      <c r="B6939" s="193" t="s">
        <v>9266</v>
      </c>
      <c r="C6939" s="233"/>
    </row>
    <row r="6940" spans="1:3" ht="31.5" x14ac:dyDescent="0.25">
      <c r="A6940" s="44" t="s">
        <v>11309</v>
      </c>
      <c r="B6940" s="66" t="s">
        <v>9268</v>
      </c>
      <c r="C6940" s="83">
        <v>1459</v>
      </c>
    </row>
    <row r="6941" spans="1:3" ht="31.5" x14ac:dyDescent="0.25">
      <c r="A6941" s="44" t="s">
        <v>11310</v>
      </c>
      <c r="B6941" s="66" t="s">
        <v>9270</v>
      </c>
      <c r="C6941" s="83">
        <v>1459</v>
      </c>
    </row>
    <row r="6942" spans="1:3" ht="31.5" x14ac:dyDescent="0.25">
      <c r="A6942" s="44" t="s">
        <v>11311</v>
      </c>
      <c r="B6942" s="66" t="s">
        <v>9272</v>
      </c>
      <c r="C6942" s="83">
        <v>1689</v>
      </c>
    </row>
    <row r="6943" spans="1:3" x14ac:dyDescent="0.25">
      <c r="A6943" s="71"/>
      <c r="B6943" s="131"/>
    </row>
    <row r="6944" spans="1:3" x14ac:dyDescent="0.25">
      <c r="A6944" s="126"/>
      <c r="B6944" s="198" t="s">
        <v>9273</v>
      </c>
    </row>
    <row r="6945" spans="1:3" ht="36" x14ac:dyDescent="0.25">
      <c r="A6945" s="202"/>
      <c r="B6945" s="193" t="s">
        <v>15799</v>
      </c>
      <c r="C6945" s="233"/>
    </row>
    <row r="6946" spans="1:3" ht="31.5" x14ac:dyDescent="0.25">
      <c r="A6946" s="44" t="s">
        <v>11312</v>
      </c>
      <c r="B6946" s="66" t="s">
        <v>9275</v>
      </c>
      <c r="C6946" s="83">
        <v>609</v>
      </c>
    </row>
    <row r="6947" spans="1:3" ht="31.5" x14ac:dyDescent="0.25">
      <c r="A6947" s="44" t="s">
        <v>11313</v>
      </c>
      <c r="B6947" s="66" t="s">
        <v>9277</v>
      </c>
      <c r="C6947" s="83">
        <v>609</v>
      </c>
    </row>
    <row r="6948" spans="1:3" ht="31.5" x14ac:dyDescent="0.25">
      <c r="A6948" s="44" t="s">
        <v>11314</v>
      </c>
      <c r="B6948" s="66" t="s">
        <v>9279</v>
      </c>
      <c r="C6948" s="83">
        <v>609</v>
      </c>
    </row>
    <row r="6949" spans="1:3" ht="31.5" x14ac:dyDescent="0.25">
      <c r="A6949" s="44" t="s">
        <v>11315</v>
      </c>
      <c r="B6949" s="66" t="s">
        <v>9281</v>
      </c>
      <c r="C6949" s="83">
        <v>609</v>
      </c>
    </row>
    <row r="6950" spans="1:3" ht="31.5" x14ac:dyDescent="0.25">
      <c r="A6950" s="44" t="s">
        <v>11316</v>
      </c>
      <c r="B6950" s="66" t="s">
        <v>9283</v>
      </c>
      <c r="C6950" s="83">
        <v>609</v>
      </c>
    </row>
    <row r="6951" spans="1:3" ht="31.5" x14ac:dyDescent="0.25">
      <c r="A6951" s="44" t="s">
        <v>11317</v>
      </c>
      <c r="B6951" s="66" t="s">
        <v>9285</v>
      </c>
      <c r="C6951" s="83">
        <v>609</v>
      </c>
    </row>
    <row r="6952" spans="1:3" ht="31.5" x14ac:dyDescent="0.25">
      <c r="A6952" s="44" t="s">
        <v>11318</v>
      </c>
      <c r="B6952" s="66" t="s">
        <v>9287</v>
      </c>
      <c r="C6952" s="83">
        <v>609</v>
      </c>
    </row>
    <row r="6953" spans="1:3" x14ac:dyDescent="0.25">
      <c r="A6953" s="126"/>
      <c r="B6953" s="198" t="s">
        <v>9251</v>
      </c>
    </row>
    <row r="6954" spans="1:3" x14ac:dyDescent="0.25">
      <c r="A6954" s="126"/>
      <c r="B6954" s="198"/>
    </row>
    <row r="6955" spans="1:3" x14ac:dyDescent="0.25">
      <c r="A6955" s="126"/>
      <c r="B6955" s="198" t="s">
        <v>9273</v>
      </c>
    </row>
    <row r="6956" spans="1:3" ht="36" x14ac:dyDescent="0.25">
      <c r="A6956" s="202"/>
      <c r="B6956" s="193" t="s">
        <v>15800</v>
      </c>
      <c r="C6956" s="233"/>
    </row>
    <row r="6957" spans="1:3" ht="31.5" x14ac:dyDescent="0.25">
      <c r="A6957" s="44" t="s">
        <v>11319</v>
      </c>
      <c r="B6957" s="66" t="s">
        <v>9289</v>
      </c>
      <c r="C6957" s="83">
        <v>619</v>
      </c>
    </row>
    <row r="6958" spans="1:3" ht="31.5" x14ac:dyDescent="0.25">
      <c r="A6958" s="44" t="s">
        <v>11320</v>
      </c>
      <c r="B6958" s="66" t="s">
        <v>9291</v>
      </c>
      <c r="C6958" s="83">
        <v>619</v>
      </c>
    </row>
    <row r="6959" spans="1:3" ht="31.5" x14ac:dyDescent="0.25">
      <c r="A6959" s="44" t="s">
        <v>11321</v>
      </c>
      <c r="B6959" s="66" t="s">
        <v>9293</v>
      </c>
      <c r="C6959" s="83">
        <v>619</v>
      </c>
    </row>
    <row r="6960" spans="1:3" ht="31.5" x14ac:dyDescent="0.25">
      <c r="A6960" s="44" t="s">
        <v>11322</v>
      </c>
      <c r="B6960" s="66" t="s">
        <v>9295</v>
      </c>
      <c r="C6960" s="83">
        <v>619</v>
      </c>
    </row>
    <row r="6961" spans="1:3" ht="31.5" x14ac:dyDescent="0.25">
      <c r="A6961" s="44" t="s">
        <v>11323</v>
      </c>
      <c r="B6961" s="66" t="s">
        <v>9297</v>
      </c>
      <c r="C6961" s="83">
        <v>619</v>
      </c>
    </row>
    <row r="6962" spans="1:3" ht="31.5" x14ac:dyDescent="0.25">
      <c r="A6962" s="44" t="s">
        <v>11324</v>
      </c>
      <c r="B6962" s="66" t="s">
        <v>9299</v>
      </c>
      <c r="C6962" s="83">
        <v>619</v>
      </c>
    </row>
    <row r="6963" spans="1:3" ht="31.5" x14ac:dyDescent="0.25">
      <c r="A6963" s="44" t="s">
        <v>11325</v>
      </c>
      <c r="B6963" s="66" t="s">
        <v>9301</v>
      </c>
      <c r="C6963" s="83">
        <v>619</v>
      </c>
    </row>
    <row r="6964" spans="1:3" x14ac:dyDescent="0.25">
      <c r="A6964" s="126"/>
      <c r="B6964" s="198" t="s">
        <v>9251</v>
      </c>
    </row>
    <row r="6965" spans="1:3" x14ac:dyDescent="0.25">
      <c r="A6965" s="126"/>
      <c r="B6965" s="198"/>
    </row>
    <row r="6966" spans="1:3" x14ac:dyDescent="0.25">
      <c r="A6966" s="126"/>
      <c r="B6966" s="198" t="s">
        <v>9273</v>
      </c>
    </row>
    <row r="6967" spans="1:3" ht="36" x14ac:dyDescent="0.25">
      <c r="A6967" s="202"/>
      <c r="B6967" s="193" t="s">
        <v>15801</v>
      </c>
      <c r="C6967" s="233"/>
    </row>
    <row r="6968" spans="1:3" ht="31.5" x14ac:dyDescent="0.25">
      <c r="A6968" s="44" t="s">
        <v>11326</v>
      </c>
      <c r="B6968" s="66" t="s">
        <v>9303</v>
      </c>
      <c r="C6968" s="83">
        <v>629</v>
      </c>
    </row>
    <row r="6969" spans="1:3" ht="31.5" x14ac:dyDescent="0.25">
      <c r="A6969" s="44" t="s">
        <v>9304</v>
      </c>
      <c r="B6969" s="66" t="s">
        <v>9305</v>
      </c>
      <c r="C6969" s="83">
        <v>0</v>
      </c>
    </row>
    <row r="6970" spans="1:3" ht="31.5" x14ac:dyDescent="0.25">
      <c r="A6970" s="44" t="s">
        <v>11327</v>
      </c>
      <c r="B6970" s="66" t="s">
        <v>9307</v>
      </c>
      <c r="C6970" s="83">
        <v>629</v>
      </c>
    </row>
    <row r="6971" spans="1:3" ht="31.5" x14ac:dyDescent="0.25">
      <c r="A6971" s="44" t="s">
        <v>9304</v>
      </c>
      <c r="B6971" s="66" t="s">
        <v>9308</v>
      </c>
      <c r="C6971" s="83">
        <v>0</v>
      </c>
    </row>
    <row r="6972" spans="1:3" ht="31.5" x14ac:dyDescent="0.25">
      <c r="A6972" s="44" t="s">
        <v>11328</v>
      </c>
      <c r="B6972" s="66" t="s">
        <v>9310</v>
      </c>
      <c r="C6972" s="83">
        <v>629</v>
      </c>
    </row>
    <row r="6973" spans="1:3" ht="31.5" x14ac:dyDescent="0.25">
      <c r="A6973" s="44" t="s">
        <v>11329</v>
      </c>
      <c r="B6973" s="66" t="s">
        <v>9312</v>
      </c>
      <c r="C6973" s="83">
        <v>629</v>
      </c>
    </row>
    <row r="6974" spans="1:3" ht="31.5" x14ac:dyDescent="0.25">
      <c r="A6974" s="44" t="s">
        <v>11330</v>
      </c>
      <c r="B6974" s="66" t="s">
        <v>9314</v>
      </c>
      <c r="C6974" s="83">
        <v>629</v>
      </c>
    </row>
    <row r="6975" spans="1:3" x14ac:dyDescent="0.25">
      <c r="A6975" s="194" t="s">
        <v>9315</v>
      </c>
      <c r="B6975" s="139"/>
    </row>
    <row r="6976" spans="1:3" x14ac:dyDescent="0.25">
      <c r="A6976" s="69"/>
      <c r="B6976" s="139"/>
    </row>
    <row r="6977" spans="1:3" ht="18" x14ac:dyDescent="0.25">
      <c r="A6977" s="218"/>
      <c r="B6977" s="219" t="s">
        <v>9328</v>
      </c>
      <c r="C6977" s="233"/>
    </row>
    <row r="6978" spans="1:3" ht="31.5" x14ac:dyDescent="0.25">
      <c r="A6978" s="22" t="s">
        <v>11331</v>
      </c>
      <c r="B6978" s="4" t="s">
        <v>9937</v>
      </c>
      <c r="C6978" s="83">
        <v>459</v>
      </c>
    </row>
    <row r="6979" spans="1:3" x14ac:dyDescent="0.25">
      <c r="B6979" s="73"/>
    </row>
    <row r="6980" spans="1:3" x14ac:dyDescent="0.25">
      <c r="B6980" s="212" t="s">
        <v>11332</v>
      </c>
    </row>
    <row r="6981" spans="1:3" ht="36" x14ac:dyDescent="0.25">
      <c r="A6981" s="218"/>
      <c r="B6981" s="219" t="s">
        <v>11238</v>
      </c>
      <c r="C6981" s="233"/>
    </row>
    <row r="6982" spans="1:3" ht="47.25" x14ac:dyDescent="0.25">
      <c r="A6982" s="127" t="s">
        <v>11333</v>
      </c>
      <c r="B6982" s="154" t="s">
        <v>9832</v>
      </c>
      <c r="C6982" s="83">
        <v>249</v>
      </c>
    </row>
    <row r="6983" spans="1:3" x14ac:dyDescent="0.25">
      <c r="A6983" s="128"/>
      <c r="B6983" s="153"/>
    </row>
    <row r="6984" spans="1:3" x14ac:dyDescent="0.25">
      <c r="A6984" s="71"/>
      <c r="B6984" s="212" t="s">
        <v>11332</v>
      </c>
    </row>
    <row r="6985" spans="1:3" ht="18" x14ac:dyDescent="0.25">
      <c r="A6985" s="218"/>
      <c r="B6985" s="219" t="s">
        <v>9347</v>
      </c>
      <c r="C6985" s="233"/>
    </row>
    <row r="6986" spans="1:3" ht="78.75" x14ac:dyDescent="0.25">
      <c r="A6986" s="127" t="s">
        <v>11334</v>
      </c>
      <c r="B6986" s="4" t="s">
        <v>11335</v>
      </c>
      <c r="C6986" s="83">
        <v>359</v>
      </c>
    </row>
    <row r="6987" spans="1:3" ht="78.75" x14ac:dyDescent="0.25">
      <c r="A6987" s="127" t="s">
        <v>11336</v>
      </c>
      <c r="B6987" s="4" t="s">
        <v>11337</v>
      </c>
      <c r="C6987" s="83">
        <v>409</v>
      </c>
    </row>
    <row r="6988" spans="1:3" ht="78.75" x14ac:dyDescent="0.25">
      <c r="A6988" s="127" t="s">
        <v>11338</v>
      </c>
      <c r="B6988" s="4" t="s">
        <v>11339</v>
      </c>
      <c r="C6988" s="83">
        <v>329</v>
      </c>
    </row>
    <row r="6989" spans="1:3" ht="78.75" x14ac:dyDescent="0.25">
      <c r="A6989" s="127" t="s">
        <v>11340</v>
      </c>
      <c r="B6989" s="4" t="s">
        <v>11341</v>
      </c>
      <c r="C6989" s="83">
        <v>329</v>
      </c>
    </row>
    <row r="6990" spans="1:3" x14ac:dyDescent="0.25">
      <c r="A6990" s="128"/>
      <c r="B6990" s="73"/>
    </row>
    <row r="6991" spans="1:3" x14ac:dyDescent="0.25">
      <c r="A6991" s="128"/>
      <c r="B6991" s="131" t="s">
        <v>11332</v>
      </c>
    </row>
    <row r="6992" spans="1:3" ht="18" x14ac:dyDescent="0.25">
      <c r="A6992" s="218"/>
      <c r="B6992" s="219" t="s">
        <v>11134</v>
      </c>
      <c r="C6992" s="233"/>
    </row>
    <row r="6993" spans="1:3" ht="31.5" x14ac:dyDescent="0.25">
      <c r="A6993" s="74" t="s">
        <v>11342</v>
      </c>
      <c r="B6993" s="4" t="s">
        <v>11136</v>
      </c>
      <c r="C6993" s="83">
        <v>259</v>
      </c>
    </row>
    <row r="6994" spans="1:3" x14ac:dyDescent="0.25">
      <c r="A6994" s="71"/>
      <c r="B6994" s="73"/>
    </row>
    <row r="6995" spans="1:3" ht="54" x14ac:dyDescent="0.25">
      <c r="A6995" s="218"/>
      <c r="B6995" s="219" t="s">
        <v>11245</v>
      </c>
      <c r="C6995" s="233"/>
    </row>
    <row r="6996" spans="1:3" ht="18" x14ac:dyDescent="0.25">
      <c r="A6996" s="218"/>
      <c r="B6996" s="219" t="s">
        <v>11343</v>
      </c>
      <c r="C6996" s="233"/>
    </row>
    <row r="6997" spans="1:3" ht="18" x14ac:dyDescent="0.25">
      <c r="A6997" s="218"/>
      <c r="B6997" s="207" t="s">
        <v>10800</v>
      </c>
      <c r="C6997" s="233"/>
    </row>
    <row r="6998" spans="1:3" ht="31.5" x14ac:dyDescent="0.25">
      <c r="A6998" s="22" t="s">
        <v>11344</v>
      </c>
      <c r="B6998" s="4" t="s">
        <v>9390</v>
      </c>
      <c r="C6998" s="83">
        <v>289</v>
      </c>
    </row>
    <row r="6999" spans="1:3" x14ac:dyDescent="0.25">
      <c r="A6999" s="71" t="s">
        <v>11345</v>
      </c>
      <c r="B6999" s="139"/>
    </row>
    <row r="7000" spans="1:3" ht="18" x14ac:dyDescent="0.25">
      <c r="A7000" s="218"/>
      <c r="B7000" s="228" t="s">
        <v>11346</v>
      </c>
      <c r="C7000" s="233"/>
    </row>
    <row r="7001" spans="1:3" ht="18" x14ac:dyDescent="0.25">
      <c r="A7001" s="218" t="s">
        <v>11345</v>
      </c>
      <c r="B7001" s="228" t="s">
        <v>10010</v>
      </c>
      <c r="C7001" s="233"/>
    </row>
    <row r="7002" spans="1:3" ht="18" x14ac:dyDescent="0.25">
      <c r="A7002" s="218"/>
      <c r="B7002" s="207" t="s">
        <v>10011</v>
      </c>
      <c r="C7002" s="233"/>
    </row>
    <row r="7003" spans="1:3" ht="78.75" x14ac:dyDescent="0.25">
      <c r="A7003" s="22" t="s">
        <v>11143</v>
      </c>
      <c r="B7003" s="4" t="s">
        <v>9836</v>
      </c>
      <c r="C7003" s="83">
        <v>89</v>
      </c>
    </row>
    <row r="7004" spans="1:3" x14ac:dyDescent="0.25">
      <c r="B7004" s="133"/>
    </row>
    <row r="7005" spans="1:3" ht="18" x14ac:dyDescent="0.25">
      <c r="A7005" s="218"/>
      <c r="B7005" s="207" t="s">
        <v>11145</v>
      </c>
      <c r="C7005" s="233"/>
    </row>
    <row r="7006" spans="1:3" ht="36" x14ac:dyDescent="0.25">
      <c r="A7006" s="218"/>
      <c r="B7006" s="219" t="s">
        <v>10022</v>
      </c>
      <c r="C7006" s="233"/>
    </row>
    <row r="7007" spans="1:3" ht="18" x14ac:dyDescent="0.25">
      <c r="A7007" s="218"/>
      <c r="B7007" s="207" t="s">
        <v>10800</v>
      </c>
      <c r="C7007" s="233"/>
    </row>
    <row r="7008" spans="1:3" ht="204.75" x14ac:dyDescent="0.25">
      <c r="A7008" s="127" t="s">
        <v>11347</v>
      </c>
      <c r="B7008" s="4" t="s">
        <v>11348</v>
      </c>
      <c r="C7008" s="83">
        <v>2809</v>
      </c>
    </row>
    <row r="7009" spans="1:3" x14ac:dyDescent="0.25">
      <c r="A7009" s="71"/>
      <c r="B7009" s="133"/>
    </row>
    <row r="7010" spans="1:3" ht="18" x14ac:dyDescent="0.25">
      <c r="A7010" s="218"/>
      <c r="B7010" s="207" t="s">
        <v>11145</v>
      </c>
      <c r="C7010" s="233"/>
    </row>
    <row r="7011" spans="1:3" ht="36" x14ac:dyDescent="0.25">
      <c r="A7011" s="218"/>
      <c r="B7011" s="219" t="s">
        <v>15804</v>
      </c>
      <c r="C7011" s="233"/>
    </row>
    <row r="7012" spans="1:3" ht="18" x14ac:dyDescent="0.25">
      <c r="A7012" s="218"/>
      <c r="B7012" s="207" t="s">
        <v>10800</v>
      </c>
      <c r="C7012" s="233"/>
    </row>
    <row r="7013" spans="1:3" ht="47.25" x14ac:dyDescent="0.25">
      <c r="A7013" s="127" t="s">
        <v>11249</v>
      </c>
      <c r="B7013" s="137" t="s">
        <v>11349</v>
      </c>
      <c r="C7013" s="83">
        <v>339</v>
      </c>
    </row>
    <row r="7014" spans="1:3" x14ac:dyDescent="0.25">
      <c r="A7014" s="127" t="s">
        <v>11350</v>
      </c>
      <c r="B7014" s="4" t="s">
        <v>9587</v>
      </c>
      <c r="C7014" s="83">
        <v>149</v>
      </c>
    </row>
    <row r="7015" spans="1:3" ht="31.5" x14ac:dyDescent="0.25">
      <c r="A7015" s="127" t="s">
        <v>11338</v>
      </c>
      <c r="B7015" s="4" t="s">
        <v>11351</v>
      </c>
      <c r="C7015" s="83">
        <v>329</v>
      </c>
    </row>
    <row r="7016" spans="1:3" ht="31.5" x14ac:dyDescent="0.25">
      <c r="A7016" s="74" t="s">
        <v>11340</v>
      </c>
      <c r="B7016" s="4" t="s">
        <v>11352</v>
      </c>
      <c r="C7016" s="83">
        <v>329</v>
      </c>
    </row>
    <row r="7017" spans="1:3" x14ac:dyDescent="0.25">
      <c r="A7017" s="75"/>
      <c r="B7017" s="73"/>
    </row>
    <row r="7018" spans="1:3" ht="18" x14ac:dyDescent="0.25">
      <c r="A7018" s="218"/>
      <c r="B7018" s="207" t="s">
        <v>9589</v>
      </c>
      <c r="C7018" s="233"/>
    </row>
    <row r="7019" spans="1:3" ht="36" x14ac:dyDescent="0.25">
      <c r="A7019" s="218"/>
      <c r="B7019" s="219" t="s">
        <v>10031</v>
      </c>
      <c r="C7019" s="233"/>
    </row>
    <row r="7020" spans="1:3" ht="18" x14ac:dyDescent="0.25">
      <c r="A7020" s="218"/>
      <c r="B7020" s="207" t="s">
        <v>10800</v>
      </c>
      <c r="C7020" s="233"/>
    </row>
    <row r="7021" spans="1:3" ht="267.75" x14ac:dyDescent="0.25">
      <c r="A7021" s="127" t="s">
        <v>11353</v>
      </c>
      <c r="B7021" s="4" t="s">
        <v>11354</v>
      </c>
      <c r="C7021" s="83">
        <v>3229</v>
      </c>
    </row>
    <row r="7022" spans="1:3" x14ac:dyDescent="0.25">
      <c r="B7022" s="133"/>
      <c r="C7022" s="91"/>
    </row>
    <row r="7023" spans="1:3" ht="36" x14ac:dyDescent="0.25">
      <c r="A7023" s="225" t="s">
        <v>9122</v>
      </c>
      <c r="B7023" s="228" t="s">
        <v>9849</v>
      </c>
      <c r="C7023" s="229"/>
    </row>
    <row r="7024" spans="1:3" ht="47.25" x14ac:dyDescent="0.25">
      <c r="A7024" s="159" t="s">
        <v>11355</v>
      </c>
      <c r="B7024" s="4" t="s">
        <v>11356</v>
      </c>
      <c r="C7024" s="83">
        <v>839</v>
      </c>
    </row>
    <row r="7025" spans="1:3" ht="47.25" x14ac:dyDescent="0.25">
      <c r="A7025" s="159" t="s">
        <v>11357</v>
      </c>
      <c r="B7025" s="4" t="s">
        <v>11358</v>
      </c>
      <c r="C7025" s="83">
        <v>799</v>
      </c>
    </row>
    <row r="7026" spans="1:3" ht="47.25" x14ac:dyDescent="0.25">
      <c r="A7026" s="159" t="s">
        <v>11359</v>
      </c>
      <c r="B7026" s="4" t="s">
        <v>11360</v>
      </c>
      <c r="C7026" s="83">
        <v>899</v>
      </c>
    </row>
    <row r="7027" spans="1:3" ht="47.25" x14ac:dyDescent="0.25">
      <c r="A7027" s="159" t="s">
        <v>11361</v>
      </c>
      <c r="B7027" s="4" t="s">
        <v>11362</v>
      </c>
      <c r="C7027" s="83">
        <v>819</v>
      </c>
    </row>
    <row r="7028" spans="1:3" ht="47.25" x14ac:dyDescent="0.25">
      <c r="A7028" s="159" t="s">
        <v>11363</v>
      </c>
      <c r="B7028" s="4" t="s">
        <v>11364</v>
      </c>
      <c r="C7028" s="83">
        <v>859</v>
      </c>
    </row>
    <row r="7029" spans="1:3" ht="47.25" x14ac:dyDescent="0.25">
      <c r="A7029" s="159" t="s">
        <v>11365</v>
      </c>
      <c r="B7029" s="4" t="s">
        <v>11366</v>
      </c>
      <c r="C7029" s="83">
        <v>819</v>
      </c>
    </row>
    <row r="7030" spans="1:3" ht="18" x14ac:dyDescent="0.25">
      <c r="A7030" s="225" t="s">
        <v>9162</v>
      </c>
      <c r="B7030" s="238"/>
      <c r="C7030" s="233"/>
    </row>
    <row r="7031" spans="1:3" ht="47.25" x14ac:dyDescent="0.25">
      <c r="A7031" s="159" t="s">
        <v>11367</v>
      </c>
      <c r="B7031" s="4" t="s">
        <v>11368</v>
      </c>
      <c r="C7031" s="83">
        <v>959</v>
      </c>
    </row>
    <row r="7032" spans="1:3" ht="47.25" x14ac:dyDescent="0.25">
      <c r="A7032" s="22" t="s">
        <v>11369</v>
      </c>
      <c r="B7032" s="4" t="s">
        <v>11370</v>
      </c>
      <c r="C7032" s="83">
        <v>919</v>
      </c>
    </row>
    <row r="7033" spans="1:3" ht="63" x14ac:dyDescent="0.25">
      <c r="A7033" s="159" t="s">
        <v>11371</v>
      </c>
      <c r="B7033" s="4" t="s">
        <v>11372</v>
      </c>
      <c r="C7033" s="83">
        <v>1009</v>
      </c>
    </row>
    <row r="7034" spans="1:3" ht="63" x14ac:dyDescent="0.25">
      <c r="A7034" s="159" t="s">
        <v>11373</v>
      </c>
      <c r="B7034" s="4" t="s">
        <v>11374</v>
      </c>
      <c r="C7034" s="83">
        <v>969</v>
      </c>
    </row>
    <row r="7035" spans="1:3" ht="63" x14ac:dyDescent="0.25">
      <c r="A7035" s="159" t="s">
        <v>11375</v>
      </c>
      <c r="B7035" s="4" t="s">
        <v>11376</v>
      </c>
      <c r="C7035" s="83">
        <v>999</v>
      </c>
    </row>
    <row r="7036" spans="1:3" ht="63" x14ac:dyDescent="0.25">
      <c r="A7036" s="159" t="s">
        <v>11377</v>
      </c>
      <c r="B7036" s="4" t="s">
        <v>11378</v>
      </c>
      <c r="C7036" s="83">
        <v>959</v>
      </c>
    </row>
    <row r="7037" spans="1:3" x14ac:dyDescent="0.25">
      <c r="A7037" s="71"/>
      <c r="B7037" s="240" t="s">
        <v>11379</v>
      </c>
    </row>
    <row r="7038" spans="1:3" x14ac:dyDescent="0.25">
      <c r="A7038" s="71"/>
      <c r="B7038" s="139"/>
    </row>
    <row r="7039" spans="1:3" ht="36" x14ac:dyDescent="0.25">
      <c r="A7039" s="225" t="s">
        <v>9122</v>
      </c>
      <c r="B7039" s="228" t="s">
        <v>9149</v>
      </c>
      <c r="C7039" s="233"/>
    </row>
    <row r="7040" spans="1:3" ht="47.25" x14ac:dyDescent="0.25">
      <c r="A7040" s="159" t="s">
        <v>11380</v>
      </c>
      <c r="B7040" s="4" t="s">
        <v>11381</v>
      </c>
      <c r="C7040" s="83">
        <v>999</v>
      </c>
    </row>
    <row r="7041" spans="1:3" ht="47.25" x14ac:dyDescent="0.25">
      <c r="A7041" s="159" t="s">
        <v>11382</v>
      </c>
      <c r="B7041" s="4" t="s">
        <v>11383</v>
      </c>
      <c r="C7041" s="83">
        <v>959</v>
      </c>
    </row>
    <row r="7042" spans="1:3" ht="47.25" x14ac:dyDescent="0.25">
      <c r="A7042" s="159" t="s">
        <v>11384</v>
      </c>
      <c r="B7042" s="4" t="s">
        <v>11385</v>
      </c>
      <c r="C7042" s="83">
        <v>1049</v>
      </c>
    </row>
    <row r="7043" spans="1:3" ht="47.25" x14ac:dyDescent="0.25">
      <c r="A7043" s="159" t="s">
        <v>11386</v>
      </c>
      <c r="B7043" s="4" t="s">
        <v>11387</v>
      </c>
      <c r="C7043" s="83">
        <v>979</v>
      </c>
    </row>
    <row r="7044" spans="1:3" ht="47.25" x14ac:dyDescent="0.25">
      <c r="A7044" s="159" t="s">
        <v>11388</v>
      </c>
      <c r="B7044" s="4" t="s">
        <v>11389</v>
      </c>
      <c r="C7044" s="83">
        <v>1009</v>
      </c>
    </row>
    <row r="7045" spans="1:3" ht="47.25" x14ac:dyDescent="0.25">
      <c r="A7045" s="159" t="s">
        <v>11390</v>
      </c>
      <c r="B7045" s="4" t="s">
        <v>11391</v>
      </c>
      <c r="C7045" s="83">
        <v>969</v>
      </c>
    </row>
    <row r="7046" spans="1:3" ht="18" x14ac:dyDescent="0.25">
      <c r="A7046" s="225" t="s">
        <v>9162</v>
      </c>
      <c r="B7046" s="238"/>
      <c r="C7046" s="233"/>
    </row>
    <row r="7047" spans="1:3" ht="47.25" x14ac:dyDescent="0.25">
      <c r="A7047" s="159" t="s">
        <v>11392</v>
      </c>
      <c r="B7047" s="4" t="s">
        <v>11393</v>
      </c>
      <c r="C7047" s="83">
        <v>1099</v>
      </c>
    </row>
    <row r="7048" spans="1:3" ht="47.25" x14ac:dyDescent="0.25">
      <c r="A7048" s="159" t="s">
        <v>11394</v>
      </c>
      <c r="B7048" s="4" t="s">
        <v>11395</v>
      </c>
      <c r="C7048" s="83">
        <v>1059</v>
      </c>
    </row>
    <row r="7049" spans="1:3" ht="63" x14ac:dyDescent="0.25">
      <c r="A7049" s="159" t="s">
        <v>11396</v>
      </c>
      <c r="B7049" s="4" t="s">
        <v>11397</v>
      </c>
      <c r="C7049" s="83">
        <v>1149</v>
      </c>
    </row>
    <row r="7050" spans="1:3" ht="63" x14ac:dyDescent="0.25">
      <c r="A7050" s="159" t="s">
        <v>11398</v>
      </c>
      <c r="B7050" s="4" t="s">
        <v>11399</v>
      </c>
      <c r="C7050" s="83">
        <v>1109</v>
      </c>
    </row>
    <row r="7051" spans="1:3" ht="63" x14ac:dyDescent="0.25">
      <c r="A7051" s="159" t="s">
        <v>11400</v>
      </c>
      <c r="B7051" s="4" t="s">
        <v>11401</v>
      </c>
      <c r="C7051" s="83">
        <v>1139</v>
      </c>
    </row>
    <row r="7052" spans="1:3" ht="63" x14ac:dyDescent="0.25">
      <c r="A7052" s="159" t="s">
        <v>11402</v>
      </c>
      <c r="B7052" s="4" t="s">
        <v>11403</v>
      </c>
      <c r="C7052" s="83">
        <v>1099</v>
      </c>
    </row>
    <row r="7053" spans="1:3" x14ac:dyDescent="0.25">
      <c r="A7053" s="71"/>
      <c r="B7053" s="240" t="s">
        <v>11379</v>
      </c>
    </row>
    <row r="7054" spans="1:3" x14ac:dyDescent="0.25">
      <c r="A7054" s="71"/>
      <c r="B7054" s="139"/>
    </row>
    <row r="7055" spans="1:3" ht="54" x14ac:dyDescent="0.25">
      <c r="A7055" s="225" t="s">
        <v>9122</v>
      </c>
      <c r="B7055" s="228" t="s">
        <v>15817</v>
      </c>
      <c r="C7055" s="233"/>
    </row>
    <row r="7056" spans="1:3" ht="78.75" x14ac:dyDescent="0.25">
      <c r="A7056" s="159" t="s">
        <v>11404</v>
      </c>
      <c r="B7056" s="4" t="s">
        <v>11405</v>
      </c>
      <c r="C7056" s="83">
        <v>979</v>
      </c>
    </row>
    <row r="7057" spans="1:3" ht="78.75" x14ac:dyDescent="0.25">
      <c r="A7057" s="159" t="s">
        <v>11406</v>
      </c>
      <c r="B7057" s="4" t="s">
        <v>11407</v>
      </c>
      <c r="C7057" s="83">
        <v>939</v>
      </c>
    </row>
    <row r="7058" spans="1:3" ht="78.75" x14ac:dyDescent="0.25">
      <c r="A7058" s="159" t="s">
        <v>11408</v>
      </c>
      <c r="B7058" s="4" t="s">
        <v>11409</v>
      </c>
      <c r="C7058" s="83">
        <v>1029</v>
      </c>
    </row>
    <row r="7059" spans="1:3" ht="78.75" x14ac:dyDescent="0.25">
      <c r="A7059" s="159" t="s">
        <v>11410</v>
      </c>
      <c r="B7059" s="4" t="s">
        <v>11411</v>
      </c>
      <c r="C7059" s="83">
        <v>969</v>
      </c>
    </row>
    <row r="7060" spans="1:3" ht="78.75" x14ac:dyDescent="0.25">
      <c r="A7060" s="159" t="s">
        <v>11412</v>
      </c>
      <c r="B7060" s="4" t="s">
        <v>11413</v>
      </c>
      <c r="C7060" s="83">
        <v>1009</v>
      </c>
    </row>
    <row r="7061" spans="1:3" ht="78.75" x14ac:dyDescent="0.25">
      <c r="A7061" s="159" t="s">
        <v>11414</v>
      </c>
      <c r="B7061" s="4" t="s">
        <v>11415</v>
      </c>
      <c r="C7061" s="83">
        <v>969</v>
      </c>
    </row>
    <row r="7062" spans="1:3" ht="18" x14ac:dyDescent="0.25">
      <c r="A7062" s="225" t="s">
        <v>9162</v>
      </c>
      <c r="B7062" s="238"/>
      <c r="C7062" s="233"/>
    </row>
    <row r="7063" spans="1:3" ht="78.75" x14ac:dyDescent="0.25">
      <c r="A7063" s="159" t="s">
        <v>11416</v>
      </c>
      <c r="B7063" s="4" t="s">
        <v>11417</v>
      </c>
      <c r="C7063" s="83">
        <v>1089</v>
      </c>
    </row>
    <row r="7064" spans="1:3" ht="78.75" x14ac:dyDescent="0.25">
      <c r="A7064" s="159" t="s">
        <v>11418</v>
      </c>
      <c r="B7064" s="4" t="s">
        <v>11419</v>
      </c>
      <c r="C7064" s="83">
        <v>1049</v>
      </c>
    </row>
    <row r="7065" spans="1:3" ht="94.5" x14ac:dyDescent="0.25">
      <c r="A7065" s="159" t="s">
        <v>11420</v>
      </c>
      <c r="B7065" s="4" t="s">
        <v>11421</v>
      </c>
      <c r="C7065" s="83">
        <v>1149</v>
      </c>
    </row>
    <row r="7066" spans="1:3" ht="94.5" x14ac:dyDescent="0.25">
      <c r="A7066" s="159" t="s">
        <v>11422</v>
      </c>
      <c r="B7066" s="4" t="s">
        <v>11423</v>
      </c>
      <c r="C7066" s="83">
        <v>1099</v>
      </c>
    </row>
    <row r="7067" spans="1:3" ht="94.5" x14ac:dyDescent="0.25">
      <c r="A7067" s="159" t="s">
        <v>11424</v>
      </c>
      <c r="B7067" s="4" t="s">
        <v>11425</v>
      </c>
      <c r="C7067" s="83">
        <v>1129</v>
      </c>
    </row>
    <row r="7068" spans="1:3" ht="94.5" x14ac:dyDescent="0.25">
      <c r="A7068" s="159" t="s">
        <v>11426</v>
      </c>
      <c r="B7068" s="4" t="s">
        <v>11427</v>
      </c>
      <c r="C7068" s="83">
        <v>1089</v>
      </c>
    </row>
    <row r="7069" spans="1:3" x14ac:dyDescent="0.25">
      <c r="A7069" s="194" t="s">
        <v>9199</v>
      </c>
      <c r="B7069" s="139"/>
    </row>
    <row r="7070" spans="1:3" x14ac:dyDescent="0.25">
      <c r="A7070" s="69"/>
      <c r="B7070" s="139"/>
    </row>
    <row r="7071" spans="1:3" ht="36" x14ac:dyDescent="0.25">
      <c r="A7071" s="225" t="s">
        <v>9200</v>
      </c>
      <c r="B7071" s="219" t="s">
        <v>11291</v>
      </c>
      <c r="C7071" s="233"/>
    </row>
    <row r="7072" spans="1:3" ht="78.75" x14ac:dyDescent="0.25">
      <c r="A7072" s="159" t="s">
        <v>11428</v>
      </c>
      <c r="B7072" s="4" t="s">
        <v>11429</v>
      </c>
      <c r="C7072" s="83">
        <v>1269</v>
      </c>
    </row>
    <row r="7073" spans="1:3" ht="78.75" x14ac:dyDescent="0.25">
      <c r="A7073" s="159" t="s">
        <v>11430</v>
      </c>
      <c r="B7073" s="4" t="s">
        <v>11431</v>
      </c>
      <c r="C7073" s="83">
        <v>1269</v>
      </c>
    </row>
    <row r="7074" spans="1:3" ht="78.75" x14ac:dyDescent="0.25">
      <c r="A7074" s="159" t="s">
        <v>11432</v>
      </c>
      <c r="B7074" s="4" t="s">
        <v>11433</v>
      </c>
      <c r="C7074" s="83">
        <v>1199</v>
      </c>
    </row>
    <row r="7075" spans="1:3" ht="78.75" x14ac:dyDescent="0.25">
      <c r="A7075" s="159" t="s">
        <v>11434</v>
      </c>
      <c r="B7075" s="4" t="s">
        <v>11435</v>
      </c>
      <c r="C7075" s="83">
        <v>1199</v>
      </c>
    </row>
    <row r="7076" spans="1:3" x14ac:dyDescent="0.25">
      <c r="A7076" s="160"/>
      <c r="B7076" s="73"/>
    </row>
    <row r="7077" spans="1:3" ht="36" x14ac:dyDescent="0.25">
      <c r="A7077" s="186" t="s">
        <v>9217</v>
      </c>
      <c r="B7077" s="193" t="s">
        <v>9887</v>
      </c>
      <c r="C7077" s="224"/>
    </row>
    <row r="7078" spans="1:3" ht="63" x14ac:dyDescent="0.25">
      <c r="A7078" s="127" t="s">
        <v>11436</v>
      </c>
      <c r="B7078" s="66" t="s">
        <v>11437</v>
      </c>
      <c r="C7078" s="83">
        <v>569</v>
      </c>
    </row>
    <row r="7079" spans="1:3" ht="63" x14ac:dyDescent="0.25">
      <c r="A7079" s="127" t="s">
        <v>11438</v>
      </c>
      <c r="B7079" s="66" t="s">
        <v>11439</v>
      </c>
      <c r="C7079" s="83">
        <v>569</v>
      </c>
    </row>
    <row r="7080" spans="1:3" ht="63" x14ac:dyDescent="0.25">
      <c r="A7080" s="127" t="s">
        <v>11440</v>
      </c>
      <c r="B7080" s="66" t="s">
        <v>11441</v>
      </c>
      <c r="C7080" s="83">
        <v>569</v>
      </c>
    </row>
    <row r="7081" spans="1:3" ht="63" x14ac:dyDescent="0.25">
      <c r="A7081" s="127" t="s">
        <v>11442</v>
      </c>
      <c r="B7081" s="66" t="s">
        <v>11443</v>
      </c>
      <c r="C7081" s="83">
        <v>569</v>
      </c>
    </row>
    <row r="7082" spans="1:3" ht="63" x14ac:dyDescent="0.25">
      <c r="A7082" s="127" t="s">
        <v>11444</v>
      </c>
      <c r="B7082" s="66" t="s">
        <v>9627</v>
      </c>
      <c r="C7082" s="83">
        <v>569</v>
      </c>
    </row>
    <row r="7083" spans="1:3" x14ac:dyDescent="0.25">
      <c r="A7083" s="71"/>
      <c r="B7083" s="139"/>
    </row>
    <row r="7084" spans="1:3" ht="18" x14ac:dyDescent="0.25">
      <c r="A7084" s="218"/>
      <c r="B7084" s="219" t="s">
        <v>9246</v>
      </c>
      <c r="C7084" s="233"/>
    </row>
    <row r="7085" spans="1:3" ht="18" x14ac:dyDescent="0.25">
      <c r="A7085" s="218"/>
      <c r="B7085" s="207" t="s">
        <v>11445</v>
      </c>
      <c r="C7085" s="233"/>
    </row>
    <row r="7086" spans="1:3" ht="31.5" x14ac:dyDescent="0.25">
      <c r="A7086" s="127" t="s">
        <v>11446</v>
      </c>
      <c r="B7086" s="4" t="s">
        <v>11447</v>
      </c>
      <c r="C7086" s="83">
        <v>519</v>
      </c>
    </row>
    <row r="7087" spans="1:3" ht="31.5" x14ac:dyDescent="0.25">
      <c r="A7087" s="127" t="s">
        <v>11448</v>
      </c>
      <c r="B7087" s="4" t="s">
        <v>11449</v>
      </c>
      <c r="C7087" s="83">
        <v>519</v>
      </c>
    </row>
    <row r="7088" spans="1:3" x14ac:dyDescent="0.25">
      <c r="A7088" s="71"/>
      <c r="B7088" s="212" t="s">
        <v>9251</v>
      </c>
    </row>
    <row r="7089" spans="1:3" x14ac:dyDescent="0.25">
      <c r="A7089" s="71"/>
      <c r="B7089" s="139"/>
    </row>
    <row r="7090" spans="1:3" ht="36" x14ac:dyDescent="0.25">
      <c r="A7090" s="218"/>
      <c r="B7090" s="219" t="s">
        <v>11450</v>
      </c>
      <c r="C7090" s="233"/>
    </row>
    <row r="7091" spans="1:3" ht="18" x14ac:dyDescent="0.25">
      <c r="A7091" s="218"/>
      <c r="B7091" s="243" t="s">
        <v>9946</v>
      </c>
      <c r="C7091" s="233"/>
    </row>
    <row r="7092" spans="1:3" ht="31.5" x14ac:dyDescent="0.25">
      <c r="A7092" s="127" t="s">
        <v>11451</v>
      </c>
      <c r="B7092" s="66" t="s">
        <v>9254</v>
      </c>
      <c r="C7092" s="83">
        <v>849</v>
      </c>
    </row>
    <row r="7093" spans="1:3" ht="31.5" x14ac:dyDescent="0.25">
      <c r="A7093" s="127" t="s">
        <v>11452</v>
      </c>
      <c r="B7093" s="66" t="s">
        <v>9256</v>
      </c>
      <c r="C7093" s="83">
        <v>849</v>
      </c>
    </row>
    <row r="7094" spans="1:3" ht="31.5" x14ac:dyDescent="0.25">
      <c r="A7094" s="127" t="s">
        <v>11453</v>
      </c>
      <c r="B7094" s="66" t="s">
        <v>9258</v>
      </c>
      <c r="C7094" s="83">
        <v>929</v>
      </c>
    </row>
    <row r="7095" spans="1:3" x14ac:dyDescent="0.25">
      <c r="A7095" s="71"/>
      <c r="B7095" s="212" t="s">
        <v>9251</v>
      </c>
    </row>
    <row r="7096" spans="1:3" x14ac:dyDescent="0.25">
      <c r="A7096" s="71"/>
      <c r="B7096" s="139"/>
    </row>
    <row r="7097" spans="1:3" ht="36" x14ac:dyDescent="0.25">
      <c r="A7097" s="218"/>
      <c r="B7097" s="219" t="s">
        <v>11454</v>
      </c>
      <c r="C7097" s="233"/>
    </row>
    <row r="7098" spans="1:3" ht="18" x14ac:dyDescent="0.25">
      <c r="A7098" s="218"/>
      <c r="B7098" s="243" t="s">
        <v>9946</v>
      </c>
      <c r="C7098" s="233"/>
    </row>
    <row r="7099" spans="1:3" ht="31.5" x14ac:dyDescent="0.25">
      <c r="A7099" s="127" t="s">
        <v>11455</v>
      </c>
      <c r="B7099" s="66" t="s">
        <v>9261</v>
      </c>
      <c r="C7099" s="83">
        <v>1099</v>
      </c>
    </row>
    <row r="7100" spans="1:3" ht="31.5" x14ac:dyDescent="0.25">
      <c r="A7100" s="127" t="s">
        <v>11456</v>
      </c>
      <c r="B7100" s="66" t="s">
        <v>9263</v>
      </c>
      <c r="C7100" s="83">
        <v>1099</v>
      </c>
    </row>
    <row r="7101" spans="1:3" ht="31.5" x14ac:dyDescent="0.25">
      <c r="A7101" s="127" t="s">
        <v>11457</v>
      </c>
      <c r="B7101" s="66" t="s">
        <v>9265</v>
      </c>
      <c r="C7101" s="83">
        <v>1219</v>
      </c>
    </row>
    <row r="7102" spans="1:3" x14ac:dyDescent="0.25">
      <c r="A7102" s="71"/>
      <c r="B7102" s="212" t="s">
        <v>9251</v>
      </c>
    </row>
    <row r="7103" spans="1:3" x14ac:dyDescent="0.25">
      <c r="A7103" s="71"/>
      <c r="B7103" s="131"/>
    </row>
    <row r="7104" spans="1:3" ht="54" x14ac:dyDescent="0.25">
      <c r="A7104" s="200"/>
      <c r="B7104" s="193" t="s">
        <v>9266</v>
      </c>
      <c r="C7104" s="233"/>
    </row>
    <row r="7105" spans="1:3" ht="31.5" x14ac:dyDescent="0.25">
      <c r="A7105" s="44" t="s">
        <v>11458</v>
      </c>
      <c r="B7105" s="66" t="s">
        <v>9268</v>
      </c>
      <c r="C7105" s="83">
        <v>1379</v>
      </c>
    </row>
    <row r="7106" spans="1:3" ht="31.5" x14ac:dyDescent="0.25">
      <c r="A7106" s="44" t="s">
        <v>11459</v>
      </c>
      <c r="B7106" s="66" t="s">
        <v>9270</v>
      </c>
      <c r="C7106" s="83">
        <v>1379</v>
      </c>
    </row>
    <row r="7107" spans="1:3" ht="31.5" x14ac:dyDescent="0.25">
      <c r="A7107" s="44" t="s">
        <v>9304</v>
      </c>
      <c r="B7107" s="66" t="s">
        <v>9272</v>
      </c>
      <c r="C7107" s="83">
        <v>0</v>
      </c>
    </row>
    <row r="7108" spans="1:3" x14ac:dyDescent="0.25">
      <c r="A7108" s="71"/>
      <c r="B7108" s="131"/>
    </row>
    <row r="7109" spans="1:3" ht="18" x14ac:dyDescent="0.25">
      <c r="A7109" s="205"/>
      <c r="B7109" s="202" t="s">
        <v>9273</v>
      </c>
      <c r="C7109" s="233"/>
    </row>
    <row r="7110" spans="1:3" ht="36" x14ac:dyDescent="0.25">
      <c r="A7110" s="202"/>
      <c r="B7110" s="193" t="s">
        <v>15799</v>
      </c>
      <c r="C7110" s="233"/>
    </row>
    <row r="7111" spans="1:3" ht="31.5" x14ac:dyDescent="0.25">
      <c r="A7111" s="44" t="s">
        <v>11460</v>
      </c>
      <c r="B7111" s="66" t="s">
        <v>9275</v>
      </c>
      <c r="C7111" s="83">
        <v>549</v>
      </c>
    </row>
    <row r="7112" spans="1:3" ht="31.5" x14ac:dyDescent="0.25">
      <c r="A7112" s="44" t="s">
        <v>11461</v>
      </c>
      <c r="B7112" s="66" t="s">
        <v>9277</v>
      </c>
      <c r="C7112" s="83">
        <v>569</v>
      </c>
    </row>
    <row r="7113" spans="1:3" ht="31.5" x14ac:dyDescent="0.25">
      <c r="A7113" s="44" t="s">
        <v>11462</v>
      </c>
      <c r="B7113" s="66" t="s">
        <v>9279</v>
      </c>
      <c r="C7113" s="83">
        <v>549</v>
      </c>
    </row>
    <row r="7114" spans="1:3" ht="31.5" x14ac:dyDescent="0.25">
      <c r="A7114" s="44" t="s">
        <v>9304</v>
      </c>
      <c r="B7114" s="66" t="s">
        <v>9281</v>
      </c>
      <c r="C7114" s="83">
        <v>0</v>
      </c>
    </row>
    <row r="7115" spans="1:3" ht="31.5" x14ac:dyDescent="0.25">
      <c r="A7115" s="44" t="s">
        <v>11463</v>
      </c>
      <c r="B7115" s="66" t="s">
        <v>9283</v>
      </c>
      <c r="C7115" s="83">
        <v>569</v>
      </c>
    </row>
    <row r="7116" spans="1:3" ht="31.5" x14ac:dyDescent="0.25">
      <c r="A7116" s="44" t="s">
        <v>11464</v>
      </c>
      <c r="B7116" s="66" t="s">
        <v>9285</v>
      </c>
      <c r="C7116" s="83">
        <v>569</v>
      </c>
    </row>
    <row r="7117" spans="1:3" ht="31.5" x14ac:dyDescent="0.25">
      <c r="A7117" s="44" t="s">
        <v>11465</v>
      </c>
      <c r="B7117" s="66" t="s">
        <v>9287</v>
      </c>
      <c r="C7117" s="83">
        <v>569</v>
      </c>
    </row>
    <row r="7118" spans="1:3" x14ac:dyDescent="0.25">
      <c r="A7118" s="126"/>
      <c r="B7118" s="198" t="s">
        <v>9251</v>
      </c>
    </row>
    <row r="7119" spans="1:3" x14ac:dyDescent="0.25">
      <c r="A7119" s="126"/>
      <c r="B7119" s="68"/>
    </row>
    <row r="7120" spans="1:3" ht="18" x14ac:dyDescent="0.25">
      <c r="A7120" s="257"/>
      <c r="B7120" s="202" t="s">
        <v>9273</v>
      </c>
      <c r="C7120" s="233"/>
    </row>
    <row r="7121" spans="1:3" ht="36" x14ac:dyDescent="0.25">
      <c r="A7121" s="202"/>
      <c r="B7121" s="193" t="s">
        <v>15800</v>
      </c>
      <c r="C7121" s="233"/>
    </row>
    <row r="7122" spans="1:3" ht="31.5" x14ac:dyDescent="0.25">
      <c r="A7122" s="44" t="s">
        <v>11466</v>
      </c>
      <c r="B7122" s="66" t="s">
        <v>9289</v>
      </c>
      <c r="C7122" s="83">
        <v>579</v>
      </c>
    </row>
    <row r="7123" spans="1:3" ht="31.5" x14ac:dyDescent="0.25">
      <c r="A7123" s="44" t="s">
        <v>11467</v>
      </c>
      <c r="B7123" s="66" t="s">
        <v>9291</v>
      </c>
      <c r="C7123" s="83">
        <v>579</v>
      </c>
    </row>
    <row r="7124" spans="1:3" ht="31.5" x14ac:dyDescent="0.25">
      <c r="A7124" s="44" t="s">
        <v>11468</v>
      </c>
      <c r="B7124" s="66" t="s">
        <v>9293</v>
      </c>
      <c r="C7124" s="83">
        <v>559</v>
      </c>
    </row>
    <row r="7125" spans="1:3" ht="31.5" x14ac:dyDescent="0.25">
      <c r="A7125" s="44" t="s">
        <v>9304</v>
      </c>
      <c r="B7125" s="66" t="s">
        <v>9295</v>
      </c>
      <c r="C7125" s="83">
        <v>0</v>
      </c>
    </row>
    <row r="7126" spans="1:3" ht="31.5" x14ac:dyDescent="0.25">
      <c r="A7126" s="44" t="s">
        <v>11469</v>
      </c>
      <c r="B7126" s="66" t="s">
        <v>9297</v>
      </c>
      <c r="C7126" s="83">
        <v>579</v>
      </c>
    </row>
    <row r="7127" spans="1:3" ht="31.5" x14ac:dyDescent="0.25">
      <c r="A7127" s="44" t="s">
        <v>11470</v>
      </c>
      <c r="B7127" s="66" t="s">
        <v>9299</v>
      </c>
      <c r="C7127" s="83">
        <v>579</v>
      </c>
    </row>
    <row r="7128" spans="1:3" ht="31.5" x14ac:dyDescent="0.25">
      <c r="A7128" s="44" t="s">
        <v>11471</v>
      </c>
      <c r="B7128" s="66" t="s">
        <v>9301</v>
      </c>
      <c r="C7128" s="83">
        <v>579</v>
      </c>
    </row>
    <row r="7129" spans="1:3" x14ac:dyDescent="0.25">
      <c r="A7129" s="126"/>
      <c r="B7129" s="198" t="s">
        <v>9251</v>
      </c>
    </row>
    <row r="7130" spans="1:3" x14ac:dyDescent="0.25">
      <c r="A7130" s="126"/>
      <c r="B7130" s="68"/>
    </row>
    <row r="7131" spans="1:3" ht="18" x14ac:dyDescent="0.25">
      <c r="A7131" s="205"/>
      <c r="B7131" s="202" t="s">
        <v>9273</v>
      </c>
      <c r="C7131" s="233"/>
    </row>
    <row r="7132" spans="1:3" ht="36" x14ac:dyDescent="0.25">
      <c r="A7132" s="202"/>
      <c r="B7132" s="193" t="s">
        <v>15801</v>
      </c>
      <c r="C7132" s="233"/>
    </row>
    <row r="7133" spans="1:3" ht="31.5" x14ac:dyDescent="0.25">
      <c r="A7133" s="44" t="s">
        <v>9304</v>
      </c>
      <c r="B7133" s="66" t="s">
        <v>9303</v>
      </c>
      <c r="C7133" s="83">
        <v>0</v>
      </c>
    </row>
    <row r="7134" spans="1:3" ht="31.5" x14ac:dyDescent="0.25">
      <c r="A7134" s="44" t="s">
        <v>9304</v>
      </c>
      <c r="B7134" s="66" t="s">
        <v>9305</v>
      </c>
      <c r="C7134" s="83">
        <v>0</v>
      </c>
    </row>
    <row r="7135" spans="1:3" ht="31.5" x14ac:dyDescent="0.25">
      <c r="A7135" s="44" t="s">
        <v>9304</v>
      </c>
      <c r="B7135" s="66" t="s">
        <v>9307</v>
      </c>
      <c r="C7135" s="83">
        <v>0</v>
      </c>
    </row>
    <row r="7136" spans="1:3" ht="31.5" x14ac:dyDescent="0.25">
      <c r="A7136" s="44" t="s">
        <v>11472</v>
      </c>
      <c r="B7136" s="66" t="s">
        <v>9308</v>
      </c>
      <c r="C7136" s="83">
        <v>569</v>
      </c>
    </row>
    <row r="7137" spans="1:3" ht="31.5" x14ac:dyDescent="0.25">
      <c r="A7137" s="44" t="s">
        <v>11473</v>
      </c>
      <c r="B7137" s="66" t="s">
        <v>9310</v>
      </c>
      <c r="C7137" s="83">
        <v>569</v>
      </c>
    </row>
    <row r="7138" spans="1:3" ht="31.5" x14ac:dyDescent="0.25">
      <c r="A7138" s="44" t="s">
        <v>11474</v>
      </c>
      <c r="B7138" s="66" t="s">
        <v>9312</v>
      </c>
      <c r="C7138" s="83">
        <v>589</v>
      </c>
    </row>
    <row r="7139" spans="1:3" ht="31.5" x14ac:dyDescent="0.25">
      <c r="A7139" s="44" t="s">
        <v>11475</v>
      </c>
      <c r="B7139" s="66" t="s">
        <v>9314</v>
      </c>
      <c r="C7139" s="83">
        <v>569</v>
      </c>
    </row>
    <row r="7140" spans="1:3" x14ac:dyDescent="0.25">
      <c r="A7140" s="194" t="s">
        <v>9315</v>
      </c>
      <c r="B7140" s="139"/>
    </row>
    <row r="7141" spans="1:3" x14ac:dyDescent="0.25">
      <c r="A7141" s="69"/>
      <c r="B7141" s="139"/>
    </row>
    <row r="7142" spans="1:3" ht="18" x14ac:dyDescent="0.25">
      <c r="A7142" s="218"/>
      <c r="B7142" s="219" t="s">
        <v>9316</v>
      </c>
      <c r="C7142" s="233"/>
    </row>
    <row r="7143" spans="1:3" x14ac:dyDescent="0.25">
      <c r="A7143" s="127" t="s">
        <v>11476</v>
      </c>
      <c r="B7143" s="4" t="s">
        <v>9318</v>
      </c>
      <c r="C7143" s="83">
        <v>299</v>
      </c>
    </row>
    <row r="7144" spans="1:3" x14ac:dyDescent="0.25">
      <c r="A7144" s="71"/>
      <c r="B7144" s="139"/>
    </row>
    <row r="7145" spans="1:3" ht="18" x14ac:dyDescent="0.25">
      <c r="A7145" s="218"/>
      <c r="B7145" s="219" t="s">
        <v>9320</v>
      </c>
      <c r="C7145" s="233"/>
    </row>
    <row r="7146" spans="1:3" ht="18" x14ac:dyDescent="0.25">
      <c r="A7146" s="218"/>
      <c r="B7146" s="207" t="s">
        <v>11445</v>
      </c>
      <c r="C7146" s="233"/>
    </row>
    <row r="7147" spans="1:3" ht="47.25" x14ac:dyDescent="0.25">
      <c r="A7147" s="127" t="s">
        <v>11477</v>
      </c>
      <c r="B7147" s="4" t="s">
        <v>9322</v>
      </c>
      <c r="C7147" s="83">
        <v>619</v>
      </c>
    </row>
    <row r="7148" spans="1:3" ht="47.25" x14ac:dyDescent="0.25">
      <c r="A7148" s="127" t="s">
        <v>11478</v>
      </c>
      <c r="B7148" s="4" t="s">
        <v>9324</v>
      </c>
      <c r="C7148" s="83">
        <v>599</v>
      </c>
    </row>
    <row r="7149" spans="1:3" ht="47.25" x14ac:dyDescent="0.25">
      <c r="A7149" s="127" t="s">
        <v>11479</v>
      </c>
      <c r="B7149" s="4" t="s">
        <v>9326</v>
      </c>
      <c r="C7149" s="83">
        <v>599</v>
      </c>
    </row>
    <row r="7150" spans="1:3" x14ac:dyDescent="0.25">
      <c r="A7150" s="71"/>
      <c r="B7150" s="139"/>
    </row>
    <row r="7151" spans="1:3" ht="18" x14ac:dyDescent="0.25">
      <c r="A7151" s="218"/>
      <c r="B7151" s="219" t="s">
        <v>9328</v>
      </c>
      <c r="C7151" s="233"/>
    </row>
    <row r="7152" spans="1:3" ht="18" x14ac:dyDescent="0.25">
      <c r="A7152" s="218"/>
      <c r="B7152" s="207" t="s">
        <v>11445</v>
      </c>
      <c r="C7152" s="233"/>
    </row>
    <row r="7153" spans="1:3" ht="31.5" x14ac:dyDescent="0.25">
      <c r="A7153" s="127" t="s">
        <v>11480</v>
      </c>
      <c r="B7153" s="4" t="s">
        <v>11481</v>
      </c>
      <c r="C7153" s="83">
        <v>739</v>
      </c>
    </row>
    <row r="7154" spans="1:3" ht="31.5" x14ac:dyDescent="0.25">
      <c r="A7154" s="127" t="s">
        <v>11482</v>
      </c>
      <c r="B7154" s="4" t="s">
        <v>11483</v>
      </c>
      <c r="C7154" s="83">
        <v>399</v>
      </c>
    </row>
    <row r="7155" spans="1:3" ht="63" x14ac:dyDescent="0.25">
      <c r="A7155" s="127" t="s">
        <v>11484</v>
      </c>
      <c r="B7155" s="4" t="s">
        <v>9336</v>
      </c>
      <c r="C7155" s="83">
        <v>759</v>
      </c>
    </row>
    <row r="7156" spans="1:3" ht="63" x14ac:dyDescent="0.25">
      <c r="A7156" s="74" t="s">
        <v>11485</v>
      </c>
      <c r="B7156" s="4" t="s">
        <v>10365</v>
      </c>
      <c r="C7156" s="83">
        <v>759</v>
      </c>
    </row>
    <row r="7157" spans="1:3" x14ac:dyDescent="0.25">
      <c r="A7157" s="75"/>
      <c r="B7157" s="73"/>
    </row>
    <row r="7158" spans="1:3" ht="18" x14ac:dyDescent="0.25">
      <c r="A7158" s="218"/>
      <c r="B7158" s="219" t="s">
        <v>9347</v>
      </c>
      <c r="C7158" s="233"/>
    </row>
    <row r="7159" spans="1:3" ht="18" x14ac:dyDescent="0.25">
      <c r="A7159" s="218"/>
      <c r="B7159" s="207" t="s">
        <v>11486</v>
      </c>
      <c r="C7159" s="233"/>
    </row>
    <row r="7160" spans="1:3" ht="31.5" x14ac:dyDescent="0.25">
      <c r="A7160" s="127" t="s">
        <v>11487</v>
      </c>
      <c r="B7160" s="4" t="s">
        <v>9991</v>
      </c>
      <c r="C7160" s="83">
        <v>299</v>
      </c>
    </row>
    <row r="7161" spans="1:3" ht="31.5" x14ac:dyDescent="0.25">
      <c r="A7161" s="127" t="s">
        <v>11488</v>
      </c>
      <c r="B7161" s="4" t="s">
        <v>9993</v>
      </c>
      <c r="C7161" s="83">
        <v>319</v>
      </c>
    </row>
    <row r="7162" spans="1:3" ht="47.25" x14ac:dyDescent="0.25">
      <c r="A7162" s="127" t="s">
        <v>11489</v>
      </c>
      <c r="B7162" s="4" t="s">
        <v>10534</v>
      </c>
      <c r="C7162" s="83">
        <v>279</v>
      </c>
    </row>
    <row r="7163" spans="1:3" x14ac:dyDescent="0.25">
      <c r="A7163" s="71"/>
      <c r="B7163" s="139"/>
    </row>
    <row r="7164" spans="1:3" ht="18" x14ac:dyDescent="0.25">
      <c r="A7164" s="218"/>
      <c r="B7164" s="219" t="s">
        <v>9366</v>
      </c>
      <c r="C7164" s="233"/>
    </row>
    <row r="7165" spans="1:3" ht="47.25" x14ac:dyDescent="0.25">
      <c r="A7165" s="127" t="s">
        <v>11490</v>
      </c>
      <c r="B7165" s="4" t="s">
        <v>10380</v>
      </c>
      <c r="C7165" s="83">
        <v>339</v>
      </c>
    </row>
    <row r="7166" spans="1:3" x14ac:dyDescent="0.25">
      <c r="A7166" s="128"/>
      <c r="B7166" s="73"/>
    </row>
    <row r="7167" spans="1:3" ht="18" x14ac:dyDescent="0.25">
      <c r="A7167" s="218"/>
      <c r="B7167" s="219" t="s">
        <v>9396</v>
      </c>
      <c r="C7167" s="233"/>
    </row>
    <row r="7168" spans="1:3" ht="18" x14ac:dyDescent="0.25">
      <c r="A7168" s="218"/>
      <c r="B7168" s="245" t="s">
        <v>11491</v>
      </c>
      <c r="C7168" s="233"/>
    </row>
    <row r="7169" spans="1:3" ht="110.25" x14ac:dyDescent="0.25">
      <c r="A7169" s="22" t="s">
        <v>11492</v>
      </c>
      <c r="B7169" s="24" t="s">
        <v>11493</v>
      </c>
      <c r="C7169" s="83">
        <v>249</v>
      </c>
    </row>
    <row r="7170" spans="1:3" x14ac:dyDescent="0.25">
      <c r="A7170" s="71"/>
      <c r="B7170" s="139"/>
    </row>
    <row r="7171" spans="1:3" ht="18" x14ac:dyDescent="0.25">
      <c r="A7171" s="218"/>
      <c r="B7171" s="245" t="s">
        <v>11494</v>
      </c>
      <c r="C7171" s="233"/>
    </row>
    <row r="7172" spans="1:3" ht="110.25" x14ac:dyDescent="0.25">
      <c r="A7172" s="22" t="s">
        <v>11495</v>
      </c>
      <c r="B7172" s="24" t="s">
        <v>11496</v>
      </c>
      <c r="C7172" s="83">
        <v>249</v>
      </c>
    </row>
    <row r="7173" spans="1:3" x14ac:dyDescent="0.25">
      <c r="A7173" s="71"/>
      <c r="B7173" s="139"/>
    </row>
    <row r="7174" spans="1:3" ht="18" x14ac:dyDescent="0.25">
      <c r="A7174" s="218"/>
      <c r="B7174" s="245" t="s">
        <v>11497</v>
      </c>
      <c r="C7174" s="233"/>
    </row>
    <row r="7175" spans="1:3" ht="94.5" x14ac:dyDescent="0.25">
      <c r="A7175" s="22" t="s">
        <v>11498</v>
      </c>
      <c r="B7175" s="24" t="s">
        <v>11499</v>
      </c>
      <c r="C7175" s="83">
        <v>229</v>
      </c>
    </row>
    <row r="7176" spans="1:3" x14ac:dyDescent="0.25">
      <c r="A7176" s="71"/>
      <c r="B7176" s="139"/>
    </row>
    <row r="7177" spans="1:3" ht="18" x14ac:dyDescent="0.25">
      <c r="A7177" s="218"/>
      <c r="B7177" s="245" t="s">
        <v>11500</v>
      </c>
      <c r="C7177" s="233"/>
    </row>
    <row r="7178" spans="1:3" ht="110.25" x14ac:dyDescent="0.25">
      <c r="A7178" s="22" t="s">
        <v>11501</v>
      </c>
      <c r="B7178" s="24" t="s">
        <v>11502</v>
      </c>
      <c r="C7178" s="83">
        <v>249</v>
      </c>
    </row>
    <row r="7179" spans="1:3" ht="110.25" x14ac:dyDescent="0.25">
      <c r="A7179" s="22" t="s">
        <v>11503</v>
      </c>
      <c r="B7179" s="24" t="s">
        <v>11493</v>
      </c>
      <c r="C7179" s="83">
        <v>249</v>
      </c>
    </row>
    <row r="7180" spans="1:3" x14ac:dyDescent="0.25">
      <c r="A7180" s="71"/>
      <c r="B7180" s="139"/>
    </row>
    <row r="7181" spans="1:3" ht="18" x14ac:dyDescent="0.25">
      <c r="A7181" s="218"/>
      <c r="B7181" s="245" t="s">
        <v>11504</v>
      </c>
      <c r="C7181" s="233"/>
    </row>
    <row r="7182" spans="1:3" ht="94.5" x14ac:dyDescent="0.25">
      <c r="A7182" s="22" t="s">
        <v>11505</v>
      </c>
      <c r="B7182" s="24" t="s">
        <v>11506</v>
      </c>
      <c r="C7182" s="83">
        <v>229</v>
      </c>
    </row>
    <row r="7183" spans="1:3" x14ac:dyDescent="0.25">
      <c r="B7183" s="133"/>
    </row>
    <row r="7184" spans="1:3" ht="36" x14ac:dyDescent="0.25">
      <c r="A7184" s="218"/>
      <c r="B7184" s="219" t="s">
        <v>11507</v>
      </c>
      <c r="C7184" s="233"/>
    </row>
    <row r="7185" spans="1:3" ht="18" x14ac:dyDescent="0.25">
      <c r="A7185" s="218"/>
      <c r="B7185" s="207" t="s">
        <v>10383</v>
      </c>
      <c r="C7185" s="233"/>
    </row>
    <row r="7186" spans="1:3" ht="18" x14ac:dyDescent="0.25">
      <c r="A7186" s="218"/>
      <c r="B7186" s="207" t="s">
        <v>11486</v>
      </c>
      <c r="C7186" s="233"/>
    </row>
    <row r="7187" spans="1:3" ht="63" x14ac:dyDescent="0.25">
      <c r="A7187" s="127" t="s">
        <v>11508</v>
      </c>
      <c r="B7187" s="24" t="s">
        <v>11509</v>
      </c>
      <c r="C7187" s="83">
        <v>1769</v>
      </c>
    </row>
    <row r="7188" spans="1:3" ht="47.25" x14ac:dyDescent="0.25">
      <c r="A7188" s="127" t="s">
        <v>11510</v>
      </c>
      <c r="B7188" s="4" t="s">
        <v>11511</v>
      </c>
      <c r="C7188" s="83">
        <v>1769</v>
      </c>
    </row>
    <row r="7189" spans="1:3" x14ac:dyDescent="0.25">
      <c r="A7189" s="71"/>
      <c r="B7189" s="235" t="s">
        <v>11512</v>
      </c>
    </row>
    <row r="7190" spans="1:3" x14ac:dyDescent="0.25">
      <c r="A7190" s="71"/>
      <c r="B7190" s="139"/>
    </row>
    <row r="7191" spans="1:3" ht="54" x14ac:dyDescent="0.25">
      <c r="A7191" s="218"/>
      <c r="B7191" s="219" t="s">
        <v>11245</v>
      </c>
      <c r="C7191" s="233"/>
    </row>
    <row r="7192" spans="1:3" x14ac:dyDescent="0.25">
      <c r="A7192" s="22" t="s">
        <v>11513</v>
      </c>
      <c r="B7192" s="4" t="s">
        <v>11514</v>
      </c>
      <c r="C7192" s="83">
        <v>289</v>
      </c>
    </row>
    <row r="7193" spans="1:3" x14ac:dyDescent="0.25">
      <c r="A7193" s="71"/>
      <c r="B7193" s="139"/>
    </row>
    <row r="7194" spans="1:3" ht="36" x14ac:dyDescent="0.25">
      <c r="A7194" s="218"/>
      <c r="B7194" s="265" t="s">
        <v>9393</v>
      </c>
      <c r="C7194" s="233"/>
    </row>
    <row r="7195" spans="1:3" ht="78.75" x14ac:dyDescent="0.25">
      <c r="A7195" s="22" t="s">
        <v>11515</v>
      </c>
      <c r="B7195" s="4" t="s">
        <v>9836</v>
      </c>
      <c r="C7195" s="83">
        <v>89</v>
      </c>
    </row>
    <row r="7196" spans="1:3" x14ac:dyDescent="0.25">
      <c r="A7196" s="71"/>
      <c r="B7196" s="139"/>
    </row>
    <row r="7197" spans="1:3" x14ac:dyDescent="0.25">
      <c r="A7197" s="71"/>
      <c r="B7197" s="139"/>
    </row>
    <row r="7198" spans="1:3" ht="18" x14ac:dyDescent="0.25">
      <c r="A7198" s="218"/>
      <c r="B7198" s="219" t="s">
        <v>10413</v>
      </c>
      <c r="C7198" s="233"/>
    </row>
    <row r="7199" spans="1:3" ht="47.25" x14ac:dyDescent="0.25">
      <c r="A7199" s="22" t="s">
        <v>11516</v>
      </c>
      <c r="B7199" s="4" t="s">
        <v>9423</v>
      </c>
      <c r="C7199" s="83">
        <v>1099</v>
      </c>
    </row>
    <row r="7200" spans="1:3" ht="47.25" x14ac:dyDescent="0.25">
      <c r="A7200" s="22" t="s">
        <v>11517</v>
      </c>
      <c r="B7200" s="4" t="s">
        <v>9425</v>
      </c>
      <c r="C7200" s="83">
        <v>1839</v>
      </c>
    </row>
    <row r="7201" spans="1:3" x14ac:dyDescent="0.25">
      <c r="B7201" s="73"/>
    </row>
    <row r="7202" spans="1:3" ht="36" x14ac:dyDescent="0.25">
      <c r="A7202" s="218"/>
      <c r="B7202" s="219" t="s">
        <v>11518</v>
      </c>
      <c r="C7202" s="233"/>
    </row>
    <row r="7203" spans="1:3" ht="47.25" x14ac:dyDescent="0.25">
      <c r="A7203" s="22" t="s">
        <v>11519</v>
      </c>
      <c r="B7203" s="4" t="s">
        <v>11520</v>
      </c>
      <c r="C7203" s="83">
        <v>619</v>
      </c>
    </row>
    <row r="7204" spans="1:3" x14ac:dyDescent="0.25">
      <c r="A7204" s="71"/>
      <c r="B7204" s="139"/>
    </row>
    <row r="7205" spans="1:3" ht="36" x14ac:dyDescent="0.25">
      <c r="A7205" s="218"/>
      <c r="B7205" s="219" t="s">
        <v>9437</v>
      </c>
      <c r="C7205" s="233"/>
    </row>
    <row r="7206" spans="1:3" ht="47.25" x14ac:dyDescent="0.25">
      <c r="A7206" s="22" t="s">
        <v>11521</v>
      </c>
      <c r="B7206" s="4" t="s">
        <v>11520</v>
      </c>
      <c r="C7206" s="83">
        <v>1249</v>
      </c>
    </row>
    <row r="7207" spans="1:3" x14ac:dyDescent="0.25">
      <c r="B7207" s="73"/>
    </row>
    <row r="7208" spans="1:3" ht="36" x14ac:dyDescent="0.25">
      <c r="A7208" s="218"/>
      <c r="B7208" s="219" t="s">
        <v>11522</v>
      </c>
      <c r="C7208" s="233"/>
    </row>
    <row r="7209" spans="1:3" ht="31.5" x14ac:dyDescent="0.25">
      <c r="A7209" s="22" t="s">
        <v>11523</v>
      </c>
      <c r="B7209" s="4" t="s">
        <v>9454</v>
      </c>
      <c r="C7209" s="83">
        <v>289</v>
      </c>
    </row>
    <row r="7210" spans="1:3" ht="31.5" x14ac:dyDescent="0.25">
      <c r="A7210" s="22" t="s">
        <v>9455</v>
      </c>
      <c r="B7210" s="4" t="s">
        <v>9456</v>
      </c>
      <c r="C7210" s="83">
        <v>35.99</v>
      </c>
    </row>
    <row r="7211" spans="1:3" x14ac:dyDescent="0.25">
      <c r="A7211" s="71"/>
      <c r="B7211" s="139"/>
    </row>
    <row r="7212" spans="1:3" ht="18" x14ac:dyDescent="0.25">
      <c r="A7212" s="218"/>
      <c r="B7212" s="219" t="s">
        <v>11524</v>
      </c>
      <c r="C7212" s="233"/>
    </row>
    <row r="7213" spans="1:3" ht="31.5" x14ac:dyDescent="0.25">
      <c r="A7213" s="22" t="s">
        <v>11525</v>
      </c>
      <c r="B7213" s="24" t="s">
        <v>11526</v>
      </c>
      <c r="C7213" s="83">
        <v>509</v>
      </c>
    </row>
    <row r="7214" spans="1:3" ht="47.25" x14ac:dyDescent="0.25">
      <c r="A7214" s="22" t="s">
        <v>11527</v>
      </c>
      <c r="B7214" s="24" t="s">
        <v>11528</v>
      </c>
      <c r="C7214" s="83">
        <v>669</v>
      </c>
    </row>
    <row r="7215" spans="1:3" ht="31.5" x14ac:dyDescent="0.25">
      <c r="A7215" s="22" t="s">
        <v>11529</v>
      </c>
      <c r="B7215" s="24" t="s">
        <v>11530</v>
      </c>
      <c r="C7215" s="83">
        <v>199</v>
      </c>
    </row>
    <row r="7216" spans="1:3" x14ac:dyDescent="0.25">
      <c r="B7216" s="133"/>
    </row>
    <row r="7217" spans="1:3" ht="36" x14ac:dyDescent="0.25">
      <c r="A7217" s="225" t="s">
        <v>9122</v>
      </c>
      <c r="B7217" s="228" t="s">
        <v>9849</v>
      </c>
      <c r="C7217" s="229"/>
    </row>
    <row r="7218" spans="1:3" ht="47.25" x14ac:dyDescent="0.25">
      <c r="A7218" s="127" t="s">
        <v>11531</v>
      </c>
      <c r="B7218" s="4" t="s">
        <v>9684</v>
      </c>
      <c r="C7218" s="83">
        <v>839</v>
      </c>
    </row>
    <row r="7219" spans="1:3" ht="47.25" x14ac:dyDescent="0.25">
      <c r="A7219" s="127" t="s">
        <v>11532</v>
      </c>
      <c r="B7219" s="4" t="s">
        <v>9686</v>
      </c>
      <c r="C7219" s="83">
        <v>799</v>
      </c>
    </row>
    <row r="7220" spans="1:3" ht="47.25" x14ac:dyDescent="0.25">
      <c r="A7220" s="127" t="s">
        <v>11533</v>
      </c>
      <c r="B7220" s="4" t="s">
        <v>9853</v>
      </c>
      <c r="C7220" s="83">
        <v>899</v>
      </c>
    </row>
    <row r="7221" spans="1:3" ht="47.25" x14ac:dyDescent="0.25">
      <c r="A7221" s="127" t="s">
        <v>11534</v>
      </c>
      <c r="B7221" s="4" t="s">
        <v>9690</v>
      </c>
      <c r="C7221" s="83">
        <v>819</v>
      </c>
    </row>
    <row r="7222" spans="1:3" ht="47.25" x14ac:dyDescent="0.25">
      <c r="A7222" s="127" t="s">
        <v>11535</v>
      </c>
      <c r="B7222" s="4" t="s">
        <v>9692</v>
      </c>
      <c r="C7222" s="83">
        <v>859</v>
      </c>
    </row>
    <row r="7223" spans="1:3" ht="47.25" x14ac:dyDescent="0.25">
      <c r="A7223" s="127" t="s">
        <v>11536</v>
      </c>
      <c r="B7223" s="4" t="s">
        <v>9694</v>
      </c>
      <c r="C7223" s="83">
        <v>819</v>
      </c>
    </row>
    <row r="7224" spans="1:3" ht="18" x14ac:dyDescent="0.25">
      <c r="A7224" s="231" t="s">
        <v>9136</v>
      </c>
      <c r="B7224" s="232"/>
      <c r="C7224" s="233"/>
    </row>
    <row r="7225" spans="1:3" ht="47.25" x14ac:dyDescent="0.25">
      <c r="A7225" s="127" t="s">
        <v>11537</v>
      </c>
      <c r="B7225" s="4" t="s">
        <v>9696</v>
      </c>
      <c r="C7225" s="83">
        <v>959</v>
      </c>
    </row>
    <row r="7226" spans="1:3" ht="47.25" x14ac:dyDescent="0.25">
      <c r="A7226" s="127" t="s">
        <v>11538</v>
      </c>
      <c r="B7226" s="4" t="s">
        <v>9859</v>
      </c>
      <c r="C7226" s="83">
        <v>919</v>
      </c>
    </row>
    <row r="7227" spans="1:3" ht="63" x14ac:dyDescent="0.25">
      <c r="A7227" s="127" t="s">
        <v>11539</v>
      </c>
      <c r="B7227" s="4" t="s">
        <v>9861</v>
      </c>
      <c r="C7227" s="83">
        <v>1009</v>
      </c>
    </row>
    <row r="7228" spans="1:3" ht="63" x14ac:dyDescent="0.25">
      <c r="A7228" s="127" t="s">
        <v>11540</v>
      </c>
      <c r="B7228" s="4" t="s">
        <v>9863</v>
      </c>
      <c r="C7228" s="83">
        <v>969</v>
      </c>
    </row>
    <row r="7229" spans="1:3" ht="63" x14ac:dyDescent="0.25">
      <c r="A7229" s="127" t="s">
        <v>11541</v>
      </c>
      <c r="B7229" s="4" t="s">
        <v>10245</v>
      </c>
      <c r="C7229" s="83">
        <v>999</v>
      </c>
    </row>
    <row r="7230" spans="1:3" ht="63" x14ac:dyDescent="0.25">
      <c r="A7230" s="127" t="s">
        <v>11542</v>
      </c>
      <c r="B7230" s="4" t="s">
        <v>9702</v>
      </c>
      <c r="C7230" s="83">
        <v>959</v>
      </c>
    </row>
    <row r="7231" spans="1:3" x14ac:dyDescent="0.25">
      <c r="A7231" s="194" t="s">
        <v>9199</v>
      </c>
      <c r="B7231" s="139"/>
    </row>
    <row r="7232" spans="1:3" x14ac:dyDescent="0.25">
      <c r="A7232" s="69"/>
      <c r="B7232" s="139"/>
    </row>
    <row r="7233" spans="1:3" ht="36" x14ac:dyDescent="0.25">
      <c r="A7233" s="225" t="s">
        <v>9762</v>
      </c>
      <c r="B7233" s="219" t="s">
        <v>9228</v>
      </c>
      <c r="C7233" s="233"/>
    </row>
    <row r="7234" spans="1:3" ht="78.75" x14ac:dyDescent="0.25">
      <c r="A7234" s="127" t="s">
        <v>11543</v>
      </c>
      <c r="B7234" s="4" t="s">
        <v>10851</v>
      </c>
      <c r="C7234" s="83">
        <v>659</v>
      </c>
    </row>
    <row r="7235" spans="1:3" ht="94.5" x14ac:dyDescent="0.25">
      <c r="A7235" s="127" t="s">
        <v>11544</v>
      </c>
      <c r="B7235" s="4" t="s">
        <v>11545</v>
      </c>
      <c r="C7235" s="83">
        <v>659</v>
      </c>
    </row>
    <row r="7236" spans="1:3" ht="78.75" x14ac:dyDescent="0.25">
      <c r="A7236" s="127" t="s">
        <v>11546</v>
      </c>
      <c r="B7236" s="4" t="s">
        <v>11547</v>
      </c>
      <c r="C7236" s="83">
        <v>689</v>
      </c>
    </row>
    <row r="7237" spans="1:3" ht="94.5" x14ac:dyDescent="0.25">
      <c r="A7237" s="127" t="s">
        <v>11548</v>
      </c>
      <c r="B7237" s="4" t="s">
        <v>11549</v>
      </c>
      <c r="C7237" s="83">
        <v>689</v>
      </c>
    </row>
    <row r="7238" spans="1:3" x14ac:dyDescent="0.25">
      <c r="A7238" s="71"/>
      <c r="B7238" s="139"/>
    </row>
    <row r="7239" spans="1:3" ht="36" x14ac:dyDescent="0.25">
      <c r="A7239" s="225" t="s">
        <v>9762</v>
      </c>
      <c r="B7239" s="219" t="s">
        <v>11550</v>
      </c>
      <c r="C7239" s="233"/>
    </row>
    <row r="7240" spans="1:3" ht="78.75" x14ac:dyDescent="0.25">
      <c r="A7240" s="127" t="s">
        <v>11551</v>
      </c>
      <c r="B7240" s="4" t="s">
        <v>11552</v>
      </c>
      <c r="C7240" s="83">
        <v>659</v>
      </c>
    </row>
    <row r="7241" spans="1:3" ht="78.75" x14ac:dyDescent="0.25">
      <c r="A7241" s="127" t="s">
        <v>11553</v>
      </c>
      <c r="B7241" s="4" t="s">
        <v>11554</v>
      </c>
      <c r="C7241" s="83">
        <v>689</v>
      </c>
    </row>
    <row r="7242" spans="1:3" x14ac:dyDescent="0.25">
      <c r="A7242" s="71"/>
      <c r="B7242" s="139"/>
    </row>
    <row r="7243" spans="1:3" ht="54" x14ac:dyDescent="0.25">
      <c r="A7243" s="218"/>
      <c r="B7243" s="219" t="s">
        <v>11245</v>
      </c>
      <c r="C7243" s="233"/>
    </row>
    <row r="7244" spans="1:3" ht="94.5" x14ac:dyDescent="0.25">
      <c r="A7244" s="22" t="s">
        <v>11555</v>
      </c>
      <c r="B7244" s="24" t="s">
        <v>11556</v>
      </c>
      <c r="C7244" s="83">
        <v>289</v>
      </c>
    </row>
    <row r="7245" spans="1:3" x14ac:dyDescent="0.25">
      <c r="B7245" s="133"/>
    </row>
    <row r="7246" spans="1:3" x14ac:dyDescent="0.25">
      <c r="A7246" s="71"/>
      <c r="B7246" s="235" t="s">
        <v>11557</v>
      </c>
      <c r="C7246" s="86"/>
    </row>
    <row r="7247" spans="1:3" ht="36" x14ac:dyDescent="0.25">
      <c r="A7247" s="231" t="s">
        <v>9122</v>
      </c>
      <c r="B7247" s="228" t="s">
        <v>9849</v>
      </c>
      <c r="C7247" s="266"/>
    </row>
    <row r="7248" spans="1:3" ht="47.25" x14ac:dyDescent="0.25">
      <c r="A7248" s="127" t="s">
        <v>11558</v>
      </c>
      <c r="B7248" s="4" t="s">
        <v>9684</v>
      </c>
      <c r="C7248" s="83">
        <v>839</v>
      </c>
    </row>
    <row r="7249" spans="1:3" ht="47.25" x14ac:dyDescent="0.25">
      <c r="A7249" s="127" t="s">
        <v>11559</v>
      </c>
      <c r="B7249" s="4" t="s">
        <v>9690</v>
      </c>
      <c r="C7249" s="83">
        <v>819</v>
      </c>
    </row>
    <row r="7250" spans="1:3" ht="47.25" x14ac:dyDescent="0.25">
      <c r="A7250" s="127" t="s">
        <v>11560</v>
      </c>
      <c r="B7250" s="4" t="s">
        <v>9692</v>
      </c>
      <c r="C7250" s="83">
        <v>859</v>
      </c>
    </row>
    <row r="7251" spans="1:3" ht="47.25" x14ac:dyDescent="0.25">
      <c r="A7251" s="127" t="s">
        <v>11561</v>
      </c>
      <c r="B7251" s="4" t="s">
        <v>9694</v>
      </c>
      <c r="C7251" s="83">
        <v>819</v>
      </c>
    </row>
    <row r="7252" spans="1:3" ht="18" x14ac:dyDescent="0.25">
      <c r="A7252" s="225" t="s">
        <v>9136</v>
      </c>
      <c r="B7252" s="232"/>
      <c r="C7252" s="233"/>
    </row>
    <row r="7253" spans="1:3" ht="47.25" x14ac:dyDescent="0.25">
      <c r="A7253" s="127" t="s">
        <v>11562</v>
      </c>
      <c r="B7253" s="4" t="s">
        <v>9696</v>
      </c>
      <c r="C7253" s="83">
        <v>959</v>
      </c>
    </row>
    <row r="7254" spans="1:3" ht="63" x14ac:dyDescent="0.25">
      <c r="A7254" s="127" t="s">
        <v>11563</v>
      </c>
      <c r="B7254" s="4" t="s">
        <v>9861</v>
      </c>
      <c r="C7254" s="83">
        <v>1009</v>
      </c>
    </row>
    <row r="7255" spans="1:3" ht="63" x14ac:dyDescent="0.25">
      <c r="A7255" s="127" t="s">
        <v>11564</v>
      </c>
      <c r="B7255" s="4" t="s">
        <v>10245</v>
      </c>
      <c r="C7255" s="83">
        <v>999</v>
      </c>
    </row>
    <row r="7256" spans="1:3" x14ac:dyDescent="0.25">
      <c r="A7256" s="194" t="s">
        <v>9199</v>
      </c>
      <c r="B7256" s="139"/>
    </row>
    <row r="7257" spans="1:3" x14ac:dyDescent="0.25">
      <c r="A7257" s="69"/>
      <c r="B7257" s="139"/>
    </row>
    <row r="7258" spans="1:3" ht="36" x14ac:dyDescent="0.25">
      <c r="A7258" s="225" t="s">
        <v>9762</v>
      </c>
      <c r="B7258" s="219" t="s">
        <v>9228</v>
      </c>
      <c r="C7258" s="233"/>
    </row>
    <row r="7259" spans="1:3" ht="78.75" x14ac:dyDescent="0.25">
      <c r="A7259" s="127" t="s">
        <v>11565</v>
      </c>
      <c r="B7259" s="4" t="s">
        <v>10851</v>
      </c>
      <c r="C7259" s="83">
        <v>659</v>
      </c>
    </row>
    <row r="7260" spans="1:3" ht="78.75" x14ac:dyDescent="0.25">
      <c r="A7260" s="127" t="s">
        <v>11566</v>
      </c>
      <c r="B7260" s="4" t="s">
        <v>11547</v>
      </c>
      <c r="C7260" s="83">
        <v>689</v>
      </c>
    </row>
    <row r="7261" spans="1:3" x14ac:dyDescent="0.25">
      <c r="A7261" s="71"/>
      <c r="B7261" s="139"/>
    </row>
    <row r="7262" spans="1:3" ht="36" x14ac:dyDescent="0.25">
      <c r="A7262" s="225" t="s">
        <v>9762</v>
      </c>
      <c r="B7262" s="219" t="s">
        <v>11550</v>
      </c>
      <c r="C7262" s="233"/>
    </row>
    <row r="7263" spans="1:3" ht="78.75" x14ac:dyDescent="0.25">
      <c r="A7263" s="127" t="s">
        <v>11567</v>
      </c>
      <c r="B7263" s="4" t="s">
        <v>11552</v>
      </c>
      <c r="C7263" s="83">
        <v>659</v>
      </c>
    </row>
    <row r="7264" spans="1:3" ht="78.75" x14ac:dyDescent="0.25">
      <c r="A7264" s="127" t="s">
        <v>11568</v>
      </c>
      <c r="B7264" s="4" t="s">
        <v>11554</v>
      </c>
      <c r="C7264" s="83">
        <v>689</v>
      </c>
    </row>
    <row r="7265" spans="1:3" x14ac:dyDescent="0.25">
      <c r="B7265" s="133"/>
    </row>
    <row r="7266" spans="1:3" ht="18" x14ac:dyDescent="0.25">
      <c r="A7266" s="177"/>
      <c r="B7266" s="219" t="s">
        <v>9347</v>
      </c>
      <c r="C7266" s="233"/>
    </row>
    <row r="7267" spans="1:3" ht="31.5" x14ac:dyDescent="0.25">
      <c r="A7267" s="22" t="s">
        <v>11569</v>
      </c>
      <c r="B7267" s="4" t="s">
        <v>11570</v>
      </c>
      <c r="C7267" s="83">
        <v>1139</v>
      </c>
    </row>
    <row r="7268" spans="1:3" x14ac:dyDescent="0.25">
      <c r="B7268" s="133"/>
    </row>
    <row r="7269" spans="1:3" ht="36" x14ac:dyDescent="0.25">
      <c r="A7269" s="267" t="s">
        <v>9136</v>
      </c>
      <c r="B7269" s="228" t="s">
        <v>11571</v>
      </c>
      <c r="C7269" s="229"/>
    </row>
    <row r="7270" spans="1:3" ht="47.25" x14ac:dyDescent="0.25">
      <c r="A7270" s="132" t="s">
        <v>11572</v>
      </c>
      <c r="B7270" s="4" t="s">
        <v>11573</v>
      </c>
      <c r="C7270" s="83">
        <v>1089</v>
      </c>
    </row>
    <row r="7271" spans="1:3" ht="63" x14ac:dyDescent="0.25">
      <c r="A7271" s="132" t="s">
        <v>11574</v>
      </c>
      <c r="B7271" s="4" t="s">
        <v>11575</v>
      </c>
      <c r="C7271" s="83">
        <v>1139</v>
      </c>
    </row>
    <row r="7272" spans="1:3" x14ac:dyDescent="0.25">
      <c r="A7272" s="71"/>
      <c r="B7272" s="139"/>
      <c r="C7272" s="92"/>
    </row>
    <row r="7273" spans="1:3" ht="54" x14ac:dyDescent="0.25">
      <c r="A7273" s="225" t="s">
        <v>9200</v>
      </c>
      <c r="B7273" s="219" t="s">
        <v>11576</v>
      </c>
      <c r="C7273" s="268"/>
    </row>
    <row r="7274" spans="1:3" ht="78.75" x14ac:dyDescent="0.25">
      <c r="A7274" s="132" t="s">
        <v>11577</v>
      </c>
      <c r="B7274" s="66" t="s">
        <v>9209</v>
      </c>
      <c r="C7274" s="83">
        <v>1279</v>
      </c>
    </row>
    <row r="7275" spans="1:3" ht="78.75" x14ac:dyDescent="0.25">
      <c r="A7275" s="132" t="s">
        <v>11578</v>
      </c>
      <c r="B7275" s="66" t="s">
        <v>11579</v>
      </c>
      <c r="C7275" s="83">
        <v>1279</v>
      </c>
    </row>
    <row r="7276" spans="1:3" x14ac:dyDescent="0.25">
      <c r="A7276" s="71"/>
      <c r="B7276" s="139"/>
      <c r="C7276" s="92"/>
    </row>
    <row r="7277" spans="1:3" ht="36" x14ac:dyDescent="0.25">
      <c r="A7277" s="218"/>
      <c r="B7277" s="219" t="s">
        <v>9228</v>
      </c>
      <c r="C7277" s="268"/>
    </row>
    <row r="7278" spans="1:3" ht="47.25" x14ac:dyDescent="0.25">
      <c r="A7278" s="44" t="s">
        <v>11580</v>
      </c>
      <c r="B7278" s="66" t="s">
        <v>11581</v>
      </c>
      <c r="C7278" s="83">
        <v>699</v>
      </c>
    </row>
    <row r="7279" spans="1:3" x14ac:dyDescent="0.25">
      <c r="A7279" s="71"/>
      <c r="B7279" s="139"/>
      <c r="C7279" s="92"/>
    </row>
    <row r="7280" spans="1:3" ht="18" x14ac:dyDescent="0.25">
      <c r="A7280" s="218"/>
      <c r="B7280" s="219" t="s">
        <v>9246</v>
      </c>
      <c r="C7280" s="268"/>
    </row>
    <row r="7281" spans="1:3" ht="47.25" x14ac:dyDescent="0.25">
      <c r="A7281" s="132" t="s">
        <v>11582</v>
      </c>
      <c r="B7281" s="4" t="s">
        <v>9248</v>
      </c>
      <c r="C7281" s="83">
        <v>579</v>
      </c>
    </row>
    <row r="7282" spans="1:3" ht="47.25" x14ac:dyDescent="0.25">
      <c r="A7282" s="132" t="s">
        <v>11583</v>
      </c>
      <c r="B7282" s="4" t="s">
        <v>9634</v>
      </c>
      <c r="C7282" s="83">
        <v>579</v>
      </c>
    </row>
    <row r="7283" spans="1:3" x14ac:dyDescent="0.25">
      <c r="A7283" s="71"/>
      <c r="B7283" s="139"/>
      <c r="C7283" s="92"/>
    </row>
    <row r="7284" spans="1:3" ht="36" x14ac:dyDescent="0.25">
      <c r="A7284" s="218"/>
      <c r="B7284" s="219" t="s">
        <v>11450</v>
      </c>
      <c r="C7284" s="268"/>
    </row>
    <row r="7285" spans="1:3" ht="31.5" x14ac:dyDescent="0.25">
      <c r="A7285" s="132" t="s">
        <v>11584</v>
      </c>
      <c r="B7285" s="66" t="s">
        <v>9254</v>
      </c>
      <c r="C7285" s="83">
        <v>949</v>
      </c>
    </row>
    <row r="7286" spans="1:3" ht="31.5" x14ac:dyDescent="0.25">
      <c r="A7286" s="132" t="s">
        <v>11585</v>
      </c>
      <c r="B7286" s="66" t="s">
        <v>9256</v>
      </c>
      <c r="C7286" s="83">
        <v>949</v>
      </c>
    </row>
    <row r="7287" spans="1:3" ht="31.5" x14ac:dyDescent="0.25">
      <c r="A7287" s="132" t="s">
        <v>11586</v>
      </c>
      <c r="B7287" s="66" t="s">
        <v>9258</v>
      </c>
      <c r="C7287" s="83">
        <v>1029</v>
      </c>
    </row>
    <row r="7288" spans="1:3" x14ac:dyDescent="0.25">
      <c r="A7288" s="71"/>
      <c r="B7288" s="139"/>
      <c r="C7288" s="92"/>
    </row>
    <row r="7289" spans="1:3" ht="36" x14ac:dyDescent="0.25">
      <c r="A7289" s="218"/>
      <c r="B7289" s="219" t="s">
        <v>11454</v>
      </c>
      <c r="C7289" s="268"/>
    </row>
    <row r="7290" spans="1:3" ht="31.5" x14ac:dyDescent="0.25">
      <c r="A7290" s="132" t="s">
        <v>11587</v>
      </c>
      <c r="B7290" s="66" t="s">
        <v>9261</v>
      </c>
      <c r="C7290" s="83">
        <v>1179</v>
      </c>
    </row>
    <row r="7291" spans="1:3" ht="31.5" x14ac:dyDescent="0.25">
      <c r="A7291" s="132" t="s">
        <v>11588</v>
      </c>
      <c r="B7291" s="66" t="s">
        <v>9263</v>
      </c>
      <c r="C7291" s="83">
        <v>1179</v>
      </c>
    </row>
    <row r="7292" spans="1:3" ht="31.5" x14ac:dyDescent="0.25">
      <c r="A7292" s="132" t="s">
        <v>11589</v>
      </c>
      <c r="B7292" s="66" t="s">
        <v>9265</v>
      </c>
      <c r="C7292" s="83">
        <v>1339</v>
      </c>
    </row>
    <row r="7293" spans="1:3" x14ac:dyDescent="0.25">
      <c r="A7293" s="138"/>
      <c r="B7293" s="72"/>
      <c r="C7293" s="92"/>
    </row>
    <row r="7294" spans="1:3" ht="54" x14ac:dyDescent="0.25">
      <c r="A7294" s="200"/>
      <c r="B7294" s="193" t="s">
        <v>9266</v>
      </c>
      <c r="C7294" s="268"/>
    </row>
    <row r="7295" spans="1:3" ht="31.5" x14ac:dyDescent="0.25">
      <c r="A7295" s="44" t="s">
        <v>11590</v>
      </c>
      <c r="B7295" s="66" t="s">
        <v>9268</v>
      </c>
      <c r="C7295" s="83">
        <v>1459</v>
      </c>
    </row>
    <row r="7296" spans="1:3" ht="31.5" x14ac:dyDescent="0.25">
      <c r="A7296" s="44" t="s">
        <v>11591</v>
      </c>
      <c r="B7296" s="66" t="s">
        <v>9270</v>
      </c>
      <c r="C7296" s="83">
        <v>1459</v>
      </c>
    </row>
    <row r="7297" spans="1:3" ht="31.5" x14ac:dyDescent="0.25">
      <c r="A7297" s="44" t="s">
        <v>11592</v>
      </c>
      <c r="B7297" s="66" t="s">
        <v>9272</v>
      </c>
      <c r="C7297" s="83">
        <v>1689</v>
      </c>
    </row>
    <row r="7298" spans="1:3" x14ac:dyDescent="0.25">
      <c r="A7298" s="126"/>
      <c r="B7298" s="72"/>
      <c r="C7298" s="92"/>
    </row>
    <row r="7299" spans="1:3" x14ac:dyDescent="0.25">
      <c r="B7299" s="198" t="s">
        <v>9273</v>
      </c>
      <c r="C7299" s="92"/>
    </row>
    <row r="7300" spans="1:3" ht="36" x14ac:dyDescent="0.25">
      <c r="A7300" s="202"/>
      <c r="B7300" s="193" t="s">
        <v>15799</v>
      </c>
      <c r="C7300" s="268"/>
    </row>
    <row r="7301" spans="1:3" ht="31.5" x14ac:dyDescent="0.25">
      <c r="A7301" s="44" t="s">
        <v>11593</v>
      </c>
      <c r="B7301" s="66" t="s">
        <v>9275</v>
      </c>
      <c r="C7301" s="83">
        <v>609</v>
      </c>
    </row>
    <row r="7302" spans="1:3" ht="31.5" x14ac:dyDescent="0.25">
      <c r="A7302" s="44" t="s">
        <v>11594</v>
      </c>
      <c r="B7302" s="66" t="s">
        <v>9277</v>
      </c>
      <c r="C7302" s="83">
        <v>609</v>
      </c>
    </row>
    <row r="7303" spans="1:3" ht="31.5" x14ac:dyDescent="0.25">
      <c r="A7303" s="44" t="s">
        <v>11595</v>
      </c>
      <c r="B7303" s="66" t="s">
        <v>9279</v>
      </c>
      <c r="C7303" s="83">
        <v>609</v>
      </c>
    </row>
    <row r="7304" spans="1:3" ht="31.5" x14ac:dyDescent="0.25">
      <c r="A7304" s="44" t="s">
        <v>11596</v>
      </c>
      <c r="B7304" s="66" t="s">
        <v>9281</v>
      </c>
      <c r="C7304" s="83">
        <v>609</v>
      </c>
    </row>
    <row r="7305" spans="1:3" ht="31.5" x14ac:dyDescent="0.25">
      <c r="A7305" s="44" t="s">
        <v>11597</v>
      </c>
      <c r="B7305" s="66" t="s">
        <v>9283</v>
      </c>
      <c r="C7305" s="83">
        <v>609</v>
      </c>
    </row>
    <row r="7306" spans="1:3" ht="31.5" x14ac:dyDescent="0.25">
      <c r="A7306" s="44" t="s">
        <v>11598</v>
      </c>
      <c r="B7306" s="66" t="s">
        <v>9285</v>
      </c>
      <c r="C7306" s="83">
        <v>609</v>
      </c>
    </row>
    <row r="7307" spans="1:3" ht="31.5" x14ac:dyDescent="0.25">
      <c r="A7307" s="44" t="s">
        <v>11599</v>
      </c>
      <c r="B7307" s="66" t="s">
        <v>9287</v>
      </c>
      <c r="C7307" s="83">
        <v>609</v>
      </c>
    </row>
    <row r="7308" spans="1:3" x14ac:dyDescent="0.25">
      <c r="A7308" s="126"/>
      <c r="B7308" s="198" t="s">
        <v>9251</v>
      </c>
      <c r="C7308" s="92"/>
    </row>
    <row r="7309" spans="1:3" x14ac:dyDescent="0.25">
      <c r="A7309" s="126"/>
      <c r="B7309" s="68"/>
      <c r="C7309" s="92"/>
    </row>
    <row r="7310" spans="1:3" x14ac:dyDescent="0.25">
      <c r="A7310" s="126"/>
      <c r="B7310" s="198" t="s">
        <v>9273</v>
      </c>
      <c r="C7310" s="92"/>
    </row>
    <row r="7311" spans="1:3" ht="36" x14ac:dyDescent="0.25">
      <c r="A7311" s="202"/>
      <c r="B7311" s="193" t="s">
        <v>15800</v>
      </c>
      <c r="C7311" s="268"/>
    </row>
    <row r="7312" spans="1:3" ht="31.5" x14ac:dyDescent="0.25">
      <c r="A7312" s="44" t="s">
        <v>11600</v>
      </c>
      <c r="B7312" s="66" t="s">
        <v>9289</v>
      </c>
      <c r="C7312" s="83">
        <v>619</v>
      </c>
    </row>
    <row r="7313" spans="1:3" ht="31.5" x14ac:dyDescent="0.25">
      <c r="A7313" s="44" t="s">
        <v>11601</v>
      </c>
      <c r="B7313" s="66" t="s">
        <v>9291</v>
      </c>
      <c r="C7313" s="83">
        <v>619</v>
      </c>
    </row>
    <row r="7314" spans="1:3" ht="31.5" x14ac:dyDescent="0.25">
      <c r="A7314" s="44" t="s">
        <v>11602</v>
      </c>
      <c r="B7314" s="66" t="s">
        <v>9293</v>
      </c>
      <c r="C7314" s="83">
        <v>619</v>
      </c>
    </row>
    <row r="7315" spans="1:3" ht="31.5" x14ac:dyDescent="0.25">
      <c r="A7315" s="44" t="s">
        <v>11603</v>
      </c>
      <c r="B7315" s="66" t="s">
        <v>9295</v>
      </c>
      <c r="C7315" s="83">
        <v>619</v>
      </c>
    </row>
    <row r="7316" spans="1:3" ht="31.5" x14ac:dyDescent="0.25">
      <c r="A7316" s="44" t="s">
        <v>11604</v>
      </c>
      <c r="B7316" s="66" t="s">
        <v>9297</v>
      </c>
      <c r="C7316" s="83">
        <v>619</v>
      </c>
    </row>
    <row r="7317" spans="1:3" ht="31.5" x14ac:dyDescent="0.25">
      <c r="A7317" s="44" t="s">
        <v>11605</v>
      </c>
      <c r="B7317" s="66" t="s">
        <v>9299</v>
      </c>
      <c r="C7317" s="83">
        <v>619</v>
      </c>
    </row>
    <row r="7318" spans="1:3" ht="31.5" x14ac:dyDescent="0.25">
      <c r="A7318" s="44" t="s">
        <v>11606</v>
      </c>
      <c r="B7318" s="66" t="s">
        <v>9301</v>
      </c>
      <c r="C7318" s="83">
        <v>619</v>
      </c>
    </row>
    <row r="7319" spans="1:3" x14ac:dyDescent="0.25">
      <c r="A7319" s="126"/>
      <c r="B7319" s="198" t="s">
        <v>9251</v>
      </c>
      <c r="C7319" s="92"/>
    </row>
    <row r="7320" spans="1:3" x14ac:dyDescent="0.25">
      <c r="A7320" s="126"/>
      <c r="B7320" s="68"/>
      <c r="C7320" s="92"/>
    </row>
    <row r="7321" spans="1:3" x14ac:dyDescent="0.25">
      <c r="A7321" s="126"/>
      <c r="B7321" s="198" t="s">
        <v>9273</v>
      </c>
      <c r="C7321" s="92"/>
    </row>
    <row r="7322" spans="1:3" ht="36" x14ac:dyDescent="0.25">
      <c r="A7322" s="202"/>
      <c r="B7322" s="193" t="s">
        <v>15801</v>
      </c>
      <c r="C7322" s="268"/>
    </row>
    <row r="7323" spans="1:3" ht="31.5" x14ac:dyDescent="0.25">
      <c r="A7323" s="44" t="s">
        <v>11607</v>
      </c>
      <c r="B7323" s="66" t="s">
        <v>9303</v>
      </c>
      <c r="C7323" s="83">
        <v>629</v>
      </c>
    </row>
    <row r="7324" spans="1:3" ht="31.5" x14ac:dyDescent="0.25">
      <c r="A7324" s="44" t="s">
        <v>9304</v>
      </c>
      <c r="B7324" s="66" t="s">
        <v>9305</v>
      </c>
      <c r="C7324" s="83">
        <v>0</v>
      </c>
    </row>
    <row r="7325" spans="1:3" ht="31.5" x14ac:dyDescent="0.25">
      <c r="A7325" s="44" t="s">
        <v>11608</v>
      </c>
      <c r="B7325" s="66" t="s">
        <v>9307</v>
      </c>
      <c r="C7325" s="83">
        <v>629</v>
      </c>
    </row>
    <row r="7326" spans="1:3" ht="31.5" x14ac:dyDescent="0.25">
      <c r="A7326" s="44" t="s">
        <v>9304</v>
      </c>
      <c r="B7326" s="66" t="s">
        <v>9308</v>
      </c>
      <c r="C7326" s="83">
        <v>0</v>
      </c>
    </row>
    <row r="7327" spans="1:3" ht="31.5" x14ac:dyDescent="0.25">
      <c r="A7327" s="44" t="s">
        <v>11609</v>
      </c>
      <c r="B7327" s="66" t="s">
        <v>9310</v>
      </c>
      <c r="C7327" s="83">
        <v>629</v>
      </c>
    </row>
    <row r="7328" spans="1:3" ht="31.5" x14ac:dyDescent="0.25">
      <c r="A7328" s="44" t="s">
        <v>11610</v>
      </c>
      <c r="B7328" s="66" t="s">
        <v>9312</v>
      </c>
      <c r="C7328" s="83">
        <v>629</v>
      </c>
    </row>
    <row r="7329" spans="1:3" ht="31.5" x14ac:dyDescent="0.25">
      <c r="A7329" s="44" t="s">
        <v>11611</v>
      </c>
      <c r="B7329" s="66" t="s">
        <v>9314</v>
      </c>
      <c r="C7329" s="83">
        <v>629</v>
      </c>
    </row>
    <row r="7330" spans="1:3" x14ac:dyDescent="0.25">
      <c r="A7330" s="201"/>
      <c r="B7330" s="198" t="s">
        <v>9251</v>
      </c>
      <c r="C7330" s="92"/>
    </row>
    <row r="7331" spans="1:3" x14ac:dyDescent="0.25">
      <c r="A7331" s="194" t="s">
        <v>9315</v>
      </c>
      <c r="B7331" s="239"/>
      <c r="C7331" s="92"/>
    </row>
    <row r="7332" spans="1:3" x14ac:dyDescent="0.25">
      <c r="A7332" s="69"/>
      <c r="B7332" s="139"/>
      <c r="C7332" s="92"/>
    </row>
    <row r="7333" spans="1:3" ht="18" x14ac:dyDescent="0.25">
      <c r="A7333" s="218"/>
      <c r="B7333" s="219" t="s">
        <v>9320</v>
      </c>
      <c r="C7333" s="268"/>
    </row>
    <row r="7334" spans="1:3" ht="47.25" x14ac:dyDescent="0.25">
      <c r="A7334" s="132" t="s">
        <v>11612</v>
      </c>
      <c r="B7334" s="4" t="s">
        <v>9322</v>
      </c>
      <c r="C7334" s="83">
        <v>679</v>
      </c>
    </row>
    <row r="7335" spans="1:3" x14ac:dyDescent="0.25">
      <c r="A7335" s="71"/>
      <c r="B7335" s="139"/>
      <c r="C7335" s="92"/>
    </row>
    <row r="7336" spans="1:3" ht="18" x14ac:dyDescent="0.25">
      <c r="A7336" s="218"/>
      <c r="B7336" s="219" t="s">
        <v>9366</v>
      </c>
      <c r="C7336" s="268"/>
    </row>
    <row r="7337" spans="1:3" ht="47.25" x14ac:dyDescent="0.25">
      <c r="A7337" s="132" t="s">
        <v>11613</v>
      </c>
      <c r="B7337" s="4" t="s">
        <v>10380</v>
      </c>
      <c r="C7337" s="83">
        <v>339</v>
      </c>
    </row>
    <row r="7338" spans="1:3" x14ac:dyDescent="0.25">
      <c r="A7338" s="71"/>
      <c r="B7338" s="139"/>
      <c r="C7338" s="92"/>
    </row>
    <row r="7339" spans="1:3" ht="18" x14ac:dyDescent="0.25">
      <c r="A7339" s="218"/>
      <c r="B7339" s="219" t="s">
        <v>9674</v>
      </c>
      <c r="C7339" s="268"/>
    </row>
    <row r="7340" spans="1:3" ht="18" x14ac:dyDescent="0.25">
      <c r="A7340" s="218"/>
      <c r="B7340" s="219" t="s">
        <v>9421</v>
      </c>
      <c r="C7340" s="268"/>
    </row>
    <row r="7341" spans="1:3" ht="47.25" x14ac:dyDescent="0.25">
      <c r="A7341" s="132" t="s">
        <v>11614</v>
      </c>
      <c r="B7341" s="4" t="s">
        <v>11615</v>
      </c>
      <c r="C7341" s="83">
        <v>779</v>
      </c>
    </row>
    <row r="7342" spans="1:3" x14ac:dyDescent="0.25">
      <c r="A7342" s="71"/>
      <c r="B7342" s="139"/>
      <c r="C7342" s="92"/>
    </row>
    <row r="7343" spans="1:3" ht="18" x14ac:dyDescent="0.25">
      <c r="A7343" s="218"/>
      <c r="B7343" s="219" t="s">
        <v>11616</v>
      </c>
      <c r="C7343" s="268"/>
    </row>
    <row r="7344" spans="1:3" x14ac:dyDescent="0.25">
      <c r="A7344" s="132" t="s">
        <v>11617</v>
      </c>
      <c r="B7344" s="4" t="s">
        <v>11618</v>
      </c>
      <c r="C7344" s="83">
        <v>639</v>
      </c>
    </row>
    <row r="7345" spans="1:3" x14ac:dyDescent="0.25">
      <c r="A7345" s="71"/>
      <c r="B7345" s="139"/>
      <c r="C7345" s="92"/>
    </row>
    <row r="7346" spans="1:3" ht="18" x14ac:dyDescent="0.25">
      <c r="A7346" s="218"/>
      <c r="B7346" s="228" t="s">
        <v>9677</v>
      </c>
      <c r="C7346" s="268"/>
    </row>
    <row r="7347" spans="1:3" ht="78.75" x14ac:dyDescent="0.25">
      <c r="A7347" s="132" t="s">
        <v>11619</v>
      </c>
      <c r="B7347" s="137" t="s">
        <v>9679</v>
      </c>
      <c r="C7347" s="83">
        <v>369</v>
      </c>
    </row>
    <row r="7348" spans="1:3" ht="78.75" x14ac:dyDescent="0.25">
      <c r="A7348" s="132" t="s">
        <v>11620</v>
      </c>
      <c r="B7348" s="137" t="s">
        <v>9681</v>
      </c>
      <c r="C7348" s="83">
        <v>369</v>
      </c>
    </row>
    <row r="7349" spans="1:3" x14ac:dyDescent="0.25">
      <c r="B7349" s="133"/>
      <c r="C7349" s="91"/>
    </row>
    <row r="7350" spans="1:3" ht="18" x14ac:dyDescent="0.25">
      <c r="A7350" s="218">
        <v>0</v>
      </c>
      <c r="B7350" s="241" t="s">
        <v>11621</v>
      </c>
      <c r="C7350" s="252"/>
    </row>
    <row r="7351" spans="1:3" ht="36" x14ac:dyDescent="0.25">
      <c r="A7351" s="218">
        <v>0</v>
      </c>
      <c r="B7351" s="241" t="s">
        <v>11622</v>
      </c>
      <c r="C7351" s="269"/>
    </row>
    <row r="7352" spans="1:3" ht="47.25" x14ac:dyDescent="0.25">
      <c r="A7352" s="132" t="s">
        <v>11623</v>
      </c>
      <c r="B7352" s="137" t="s">
        <v>11624</v>
      </c>
      <c r="C7352" s="83">
        <v>359</v>
      </c>
    </row>
    <row r="7353" spans="1:3" ht="47.25" x14ac:dyDescent="0.25">
      <c r="A7353" s="132" t="s">
        <v>11625</v>
      </c>
      <c r="B7353" s="137" t="s">
        <v>11626</v>
      </c>
      <c r="C7353" s="83">
        <v>359</v>
      </c>
    </row>
    <row r="7354" spans="1:3" ht="47.25" x14ac:dyDescent="0.25">
      <c r="A7354" s="132" t="s">
        <v>11627</v>
      </c>
      <c r="B7354" s="137" t="s">
        <v>11628</v>
      </c>
      <c r="C7354" s="83">
        <v>359</v>
      </c>
    </row>
    <row r="7355" spans="1:3" ht="47.25" x14ac:dyDescent="0.25">
      <c r="A7355" s="132" t="s">
        <v>11629</v>
      </c>
      <c r="B7355" s="137" t="s">
        <v>11630</v>
      </c>
      <c r="C7355" s="83">
        <v>359</v>
      </c>
    </row>
    <row r="7356" spans="1:3" ht="47.25" x14ac:dyDescent="0.25">
      <c r="A7356" s="132" t="s">
        <v>11631</v>
      </c>
      <c r="B7356" s="137" t="s">
        <v>11632</v>
      </c>
      <c r="C7356" s="83">
        <v>409</v>
      </c>
    </row>
    <row r="7357" spans="1:3" ht="47.25" x14ac:dyDescent="0.25">
      <c r="A7357" s="132" t="s">
        <v>11633</v>
      </c>
      <c r="B7357" s="137" t="s">
        <v>11634</v>
      </c>
      <c r="C7357" s="83">
        <v>409</v>
      </c>
    </row>
    <row r="7358" spans="1:3" ht="63" x14ac:dyDescent="0.25">
      <c r="A7358" s="132" t="s">
        <v>9600</v>
      </c>
      <c r="B7358" s="137" t="s">
        <v>9601</v>
      </c>
      <c r="C7358" s="83">
        <v>319</v>
      </c>
    </row>
    <row r="7359" spans="1:3" ht="63" x14ac:dyDescent="0.25">
      <c r="A7359" s="132" t="s">
        <v>9602</v>
      </c>
      <c r="B7359" s="137" t="s">
        <v>9603</v>
      </c>
      <c r="C7359" s="83">
        <v>309</v>
      </c>
    </row>
    <row r="7360" spans="1:3" x14ac:dyDescent="0.25">
      <c r="A7360" s="71">
        <v>0</v>
      </c>
      <c r="B7360" s="139">
        <v>0</v>
      </c>
      <c r="C7360" s="88"/>
    </row>
    <row r="7361" spans="1:3" ht="18" x14ac:dyDescent="0.25">
      <c r="A7361" s="218">
        <v>0</v>
      </c>
      <c r="B7361" s="241" t="s">
        <v>11635</v>
      </c>
      <c r="C7361" s="270"/>
    </row>
    <row r="7362" spans="1:3" ht="36" x14ac:dyDescent="0.25">
      <c r="A7362" s="218">
        <v>0</v>
      </c>
      <c r="B7362" s="241" t="s">
        <v>11622</v>
      </c>
      <c r="C7362" s="270"/>
    </row>
    <row r="7363" spans="1:3" ht="63" x14ac:dyDescent="0.25">
      <c r="A7363" s="132" t="s">
        <v>11636</v>
      </c>
      <c r="B7363" s="137" t="s">
        <v>11637</v>
      </c>
      <c r="C7363" s="83">
        <v>479</v>
      </c>
    </row>
    <row r="7364" spans="1:3" ht="63" x14ac:dyDescent="0.25">
      <c r="A7364" s="132" t="s">
        <v>11638</v>
      </c>
      <c r="B7364" s="137" t="s">
        <v>11639</v>
      </c>
      <c r="C7364" s="83">
        <v>479</v>
      </c>
    </row>
    <row r="7365" spans="1:3" ht="47.25" x14ac:dyDescent="0.25">
      <c r="A7365" s="132" t="s">
        <v>11640</v>
      </c>
      <c r="B7365" s="137" t="s">
        <v>11641</v>
      </c>
      <c r="C7365" s="83">
        <v>529</v>
      </c>
    </row>
    <row r="7366" spans="1:3" ht="63" x14ac:dyDescent="0.25">
      <c r="A7366" s="132" t="s">
        <v>11642</v>
      </c>
      <c r="B7366" s="137" t="s">
        <v>11643</v>
      </c>
      <c r="C7366" s="83">
        <v>529</v>
      </c>
    </row>
    <row r="7367" spans="1:3" ht="63" x14ac:dyDescent="0.25">
      <c r="A7367" s="22" t="s">
        <v>11644</v>
      </c>
      <c r="B7367" s="24" t="s">
        <v>11645</v>
      </c>
      <c r="C7367" s="83">
        <v>579</v>
      </c>
    </row>
    <row r="7368" spans="1:3" ht="63" x14ac:dyDescent="0.25">
      <c r="A7368" s="132" t="s">
        <v>11646</v>
      </c>
      <c r="B7368" s="137" t="s">
        <v>11647</v>
      </c>
      <c r="C7368" s="83">
        <v>579</v>
      </c>
    </row>
    <row r="7369" spans="1:3" ht="47.25" x14ac:dyDescent="0.25">
      <c r="A7369" s="132" t="s">
        <v>11648</v>
      </c>
      <c r="B7369" s="137" t="s">
        <v>11649</v>
      </c>
      <c r="C7369" s="83">
        <v>449</v>
      </c>
    </row>
    <row r="7370" spans="1:3" ht="47.25" x14ac:dyDescent="0.25">
      <c r="A7370" s="132" t="s">
        <v>11650</v>
      </c>
      <c r="B7370" s="137" t="s">
        <v>11651</v>
      </c>
      <c r="C7370" s="83">
        <v>449</v>
      </c>
    </row>
    <row r="7371" spans="1:3" ht="47.25" x14ac:dyDescent="0.25">
      <c r="A7371" s="132" t="s">
        <v>11652</v>
      </c>
      <c r="B7371" s="137" t="s">
        <v>11653</v>
      </c>
      <c r="C7371" s="83">
        <v>509</v>
      </c>
    </row>
    <row r="7372" spans="1:3" ht="47.25" x14ac:dyDescent="0.25">
      <c r="A7372" s="132" t="s">
        <v>11654</v>
      </c>
      <c r="B7372" s="137" t="s">
        <v>11655</v>
      </c>
      <c r="C7372" s="83">
        <v>509</v>
      </c>
    </row>
    <row r="7373" spans="1:3" ht="47.25" x14ac:dyDescent="0.25">
      <c r="A7373" s="132" t="s">
        <v>11656</v>
      </c>
      <c r="B7373" s="137" t="s">
        <v>11657</v>
      </c>
      <c r="C7373" s="83">
        <v>629</v>
      </c>
    </row>
    <row r="7374" spans="1:3" ht="47.25" x14ac:dyDescent="0.25">
      <c r="A7374" s="132" t="s">
        <v>11658</v>
      </c>
      <c r="B7374" s="137" t="s">
        <v>11659</v>
      </c>
      <c r="C7374" s="83">
        <v>629</v>
      </c>
    </row>
    <row r="7375" spans="1:3" x14ac:dyDescent="0.25">
      <c r="A7375" s="71">
        <v>0</v>
      </c>
      <c r="B7375" s="139">
        <v>0</v>
      </c>
      <c r="C7375" s="88"/>
    </row>
    <row r="7376" spans="1:3" ht="18" x14ac:dyDescent="0.25">
      <c r="A7376" s="218">
        <v>0</v>
      </c>
      <c r="B7376" s="241" t="s">
        <v>11660</v>
      </c>
      <c r="C7376" s="270"/>
    </row>
    <row r="7377" spans="1:3" ht="36" x14ac:dyDescent="0.25">
      <c r="A7377" s="218">
        <v>0</v>
      </c>
      <c r="B7377" s="241" t="s">
        <v>11622</v>
      </c>
      <c r="C7377" s="270"/>
    </row>
    <row r="7378" spans="1:3" ht="47.25" x14ac:dyDescent="0.25">
      <c r="A7378" s="132" t="s">
        <v>11661</v>
      </c>
      <c r="B7378" s="137" t="s">
        <v>11662</v>
      </c>
      <c r="C7378" s="83">
        <v>339</v>
      </c>
    </row>
    <row r="7379" spans="1:3" ht="47.25" x14ac:dyDescent="0.25">
      <c r="A7379" s="132" t="s">
        <v>11663</v>
      </c>
      <c r="B7379" s="137" t="s">
        <v>11664</v>
      </c>
      <c r="C7379" s="83">
        <v>339</v>
      </c>
    </row>
    <row r="7380" spans="1:3" ht="47.25" x14ac:dyDescent="0.25">
      <c r="A7380" s="132" t="s">
        <v>11665</v>
      </c>
      <c r="B7380" s="137" t="s">
        <v>11666</v>
      </c>
      <c r="C7380" s="83">
        <v>369</v>
      </c>
    </row>
    <row r="7381" spans="1:3" ht="47.25" x14ac:dyDescent="0.25">
      <c r="A7381" s="132" t="s">
        <v>11667</v>
      </c>
      <c r="B7381" s="137" t="s">
        <v>11668</v>
      </c>
      <c r="C7381" s="83">
        <v>369</v>
      </c>
    </row>
    <row r="7382" spans="1:3" ht="47.25" x14ac:dyDescent="0.25">
      <c r="A7382" s="132" t="s">
        <v>11669</v>
      </c>
      <c r="B7382" s="137" t="s">
        <v>11670</v>
      </c>
      <c r="C7382" s="83">
        <v>419</v>
      </c>
    </row>
    <row r="7383" spans="1:3" ht="47.25" x14ac:dyDescent="0.25">
      <c r="A7383" s="132" t="s">
        <v>11671</v>
      </c>
      <c r="B7383" s="137" t="s">
        <v>11672</v>
      </c>
      <c r="C7383" s="83">
        <v>419</v>
      </c>
    </row>
    <row r="7384" spans="1:3" x14ac:dyDescent="0.25">
      <c r="A7384" s="71">
        <v>0</v>
      </c>
      <c r="B7384" s="139">
        <v>0</v>
      </c>
      <c r="C7384" s="88"/>
    </row>
    <row r="7385" spans="1:3" ht="18" x14ac:dyDescent="0.25">
      <c r="A7385" s="218">
        <v>0</v>
      </c>
      <c r="B7385" s="241" t="s">
        <v>11673</v>
      </c>
      <c r="C7385" s="270"/>
    </row>
    <row r="7386" spans="1:3" ht="36" x14ac:dyDescent="0.25">
      <c r="A7386" s="218">
        <v>0</v>
      </c>
      <c r="B7386" s="241" t="s">
        <v>11622</v>
      </c>
      <c r="C7386" s="270"/>
    </row>
    <row r="7387" spans="1:3" ht="31.5" x14ac:dyDescent="0.25">
      <c r="A7387" s="132" t="s">
        <v>11674</v>
      </c>
      <c r="B7387" s="137" t="s">
        <v>11675</v>
      </c>
      <c r="C7387" s="83">
        <v>219</v>
      </c>
    </row>
    <row r="7388" spans="1:3" ht="31.5" x14ac:dyDescent="0.25">
      <c r="A7388" s="132" t="s">
        <v>11676</v>
      </c>
      <c r="B7388" s="137" t="s">
        <v>11677</v>
      </c>
      <c r="C7388" s="83">
        <v>229</v>
      </c>
    </row>
    <row r="7389" spans="1:3" x14ac:dyDescent="0.25">
      <c r="A7389" s="71">
        <v>0</v>
      </c>
      <c r="B7389" s="139">
        <v>0</v>
      </c>
      <c r="C7389" s="88"/>
    </row>
    <row r="7390" spans="1:3" ht="18" x14ac:dyDescent="0.25">
      <c r="A7390" s="218">
        <v>0</v>
      </c>
      <c r="B7390" s="241" t="s">
        <v>11678</v>
      </c>
      <c r="C7390" s="270"/>
    </row>
    <row r="7391" spans="1:3" ht="18" x14ac:dyDescent="0.25">
      <c r="A7391" s="218">
        <v>0</v>
      </c>
      <c r="B7391" s="241" t="s">
        <v>11621</v>
      </c>
      <c r="C7391" s="270"/>
    </row>
    <row r="7392" spans="1:3" ht="36" x14ac:dyDescent="0.25">
      <c r="A7392" s="218">
        <v>0</v>
      </c>
      <c r="B7392" s="241" t="s">
        <v>11622</v>
      </c>
      <c r="C7392" s="270"/>
    </row>
    <row r="7393" spans="1:3" ht="47.25" x14ac:dyDescent="0.25">
      <c r="A7393" s="22" t="s">
        <v>11679</v>
      </c>
      <c r="B7393" s="137" t="s">
        <v>11680</v>
      </c>
      <c r="C7393" s="83">
        <v>529</v>
      </c>
    </row>
    <row r="7394" spans="1:3" ht="78.75" x14ac:dyDescent="0.25">
      <c r="A7394" s="132" t="s">
        <v>11681</v>
      </c>
      <c r="B7394" s="137" t="s">
        <v>11682</v>
      </c>
      <c r="C7394" s="83">
        <v>889</v>
      </c>
    </row>
    <row r="7395" spans="1:3" ht="31.5" x14ac:dyDescent="0.25">
      <c r="A7395" s="132" t="s">
        <v>11683</v>
      </c>
      <c r="B7395" s="137" t="s">
        <v>11684</v>
      </c>
      <c r="C7395" s="83">
        <v>779</v>
      </c>
    </row>
    <row r="7396" spans="1:3" x14ac:dyDescent="0.25">
      <c r="A7396" s="71">
        <v>0</v>
      </c>
      <c r="B7396" s="139">
        <v>0</v>
      </c>
      <c r="C7396" s="88"/>
    </row>
    <row r="7397" spans="1:3" ht="18" x14ac:dyDescent="0.25">
      <c r="A7397" s="218">
        <v>0</v>
      </c>
      <c r="B7397" s="241" t="s">
        <v>11678</v>
      </c>
      <c r="C7397" s="270"/>
    </row>
    <row r="7398" spans="1:3" ht="18" x14ac:dyDescent="0.25">
      <c r="A7398" s="218">
        <v>0</v>
      </c>
      <c r="B7398" s="241" t="s">
        <v>11635</v>
      </c>
      <c r="C7398" s="270"/>
    </row>
    <row r="7399" spans="1:3" ht="36" x14ac:dyDescent="0.25">
      <c r="A7399" s="218">
        <v>0</v>
      </c>
      <c r="B7399" s="241" t="s">
        <v>11622</v>
      </c>
      <c r="C7399" s="270"/>
    </row>
    <row r="7400" spans="1:3" ht="110.25" x14ac:dyDescent="0.25">
      <c r="A7400" s="22" t="s">
        <v>11685</v>
      </c>
      <c r="B7400" s="137" t="s">
        <v>11686</v>
      </c>
      <c r="C7400" s="83">
        <v>1339</v>
      </c>
    </row>
    <row r="7401" spans="1:3" ht="94.5" x14ac:dyDescent="0.25">
      <c r="A7401" s="132" t="s">
        <v>11687</v>
      </c>
      <c r="B7401" s="137" t="s">
        <v>11688</v>
      </c>
      <c r="C7401" s="83">
        <v>1059</v>
      </c>
    </row>
    <row r="7402" spans="1:3" ht="94.5" x14ac:dyDescent="0.25">
      <c r="A7402" s="132" t="s">
        <v>11689</v>
      </c>
      <c r="B7402" s="137" t="s">
        <v>11690</v>
      </c>
      <c r="C7402" s="83">
        <v>1059</v>
      </c>
    </row>
    <row r="7403" spans="1:3" ht="94.5" x14ac:dyDescent="0.25">
      <c r="A7403" s="132" t="s">
        <v>11691</v>
      </c>
      <c r="B7403" s="137" t="s">
        <v>11692</v>
      </c>
      <c r="C7403" s="83">
        <v>1079</v>
      </c>
    </row>
    <row r="7404" spans="1:3" ht="94.5" x14ac:dyDescent="0.25">
      <c r="A7404" s="132" t="s">
        <v>11693</v>
      </c>
      <c r="B7404" s="137" t="s">
        <v>11694</v>
      </c>
      <c r="C7404" s="83">
        <v>1079</v>
      </c>
    </row>
    <row r="7405" spans="1:3" ht="110.25" x14ac:dyDescent="0.25">
      <c r="A7405" s="132" t="s">
        <v>11695</v>
      </c>
      <c r="B7405" s="137" t="s">
        <v>11696</v>
      </c>
      <c r="C7405" s="83">
        <v>1179</v>
      </c>
    </row>
    <row r="7406" spans="1:3" ht="94.5" x14ac:dyDescent="0.25">
      <c r="A7406" s="132" t="s">
        <v>11697</v>
      </c>
      <c r="B7406" s="137" t="s">
        <v>11698</v>
      </c>
      <c r="C7406" s="83">
        <v>1179</v>
      </c>
    </row>
    <row r="7407" spans="1:3" ht="78.75" x14ac:dyDescent="0.25">
      <c r="A7407" s="132" t="s">
        <v>11699</v>
      </c>
      <c r="B7407" s="137" t="s">
        <v>11700</v>
      </c>
      <c r="C7407" s="83">
        <v>1749</v>
      </c>
    </row>
    <row r="7408" spans="1:3" x14ac:dyDescent="0.25">
      <c r="A7408" s="71">
        <v>0</v>
      </c>
      <c r="B7408" s="139">
        <v>0</v>
      </c>
      <c r="C7408" s="88"/>
    </row>
    <row r="7409" spans="1:3" ht="18" x14ac:dyDescent="0.25">
      <c r="A7409" s="218">
        <v>0</v>
      </c>
      <c r="B7409" s="241" t="s">
        <v>11678</v>
      </c>
      <c r="C7409" s="270"/>
    </row>
    <row r="7410" spans="1:3" ht="18" x14ac:dyDescent="0.25">
      <c r="A7410" s="218">
        <v>0</v>
      </c>
      <c r="B7410" s="241" t="s">
        <v>11660</v>
      </c>
      <c r="C7410" s="270"/>
    </row>
    <row r="7411" spans="1:3" ht="36" x14ac:dyDescent="0.25">
      <c r="A7411" s="218">
        <v>0</v>
      </c>
      <c r="B7411" s="241" t="s">
        <v>11622</v>
      </c>
      <c r="C7411" s="270"/>
    </row>
    <row r="7412" spans="1:3" ht="78.75" x14ac:dyDescent="0.25">
      <c r="A7412" s="132" t="s">
        <v>11701</v>
      </c>
      <c r="B7412" s="137" t="s">
        <v>11702</v>
      </c>
      <c r="C7412" s="83">
        <v>909</v>
      </c>
    </row>
    <row r="7413" spans="1:3" x14ac:dyDescent="0.25">
      <c r="A7413" s="71">
        <v>0</v>
      </c>
      <c r="B7413" s="139">
        <v>0</v>
      </c>
      <c r="C7413" s="88"/>
    </row>
    <row r="7414" spans="1:3" ht="18" x14ac:dyDescent="0.25">
      <c r="A7414" s="218">
        <v>0</v>
      </c>
      <c r="B7414" s="241" t="s">
        <v>11703</v>
      </c>
      <c r="C7414" s="270"/>
    </row>
    <row r="7415" spans="1:3" ht="31.5" x14ac:dyDescent="0.25">
      <c r="A7415" s="22" t="s">
        <v>11704</v>
      </c>
      <c r="B7415" s="137" t="s">
        <v>11705</v>
      </c>
      <c r="C7415" s="83">
        <v>809</v>
      </c>
    </row>
    <row r="7416" spans="1:3" ht="78.75" x14ac:dyDescent="0.25">
      <c r="A7416" s="22" t="s">
        <v>11706</v>
      </c>
      <c r="B7416" s="137" t="s">
        <v>11707</v>
      </c>
      <c r="C7416" s="83">
        <v>839</v>
      </c>
    </row>
    <row r="7417" spans="1:3" ht="31.5" x14ac:dyDescent="0.25">
      <c r="A7417" s="22" t="s">
        <v>11708</v>
      </c>
      <c r="B7417" s="137" t="s">
        <v>11709</v>
      </c>
      <c r="C7417" s="83">
        <v>1019</v>
      </c>
    </row>
    <row r="7418" spans="1:3" ht="31.5" x14ac:dyDescent="0.25">
      <c r="A7418" s="22" t="s">
        <v>11710</v>
      </c>
      <c r="B7418" s="137" t="s">
        <v>11711</v>
      </c>
      <c r="C7418" s="83">
        <v>9.99</v>
      </c>
    </row>
    <row r="7419" spans="1:3" x14ac:dyDescent="0.25">
      <c r="A7419" s="71">
        <v>0</v>
      </c>
      <c r="B7419" s="139">
        <v>0</v>
      </c>
      <c r="C7419" s="88"/>
    </row>
    <row r="7420" spans="1:3" ht="18" x14ac:dyDescent="0.25">
      <c r="A7420" s="218">
        <v>0</v>
      </c>
      <c r="B7420" s="245" t="s">
        <v>11712</v>
      </c>
      <c r="C7420" s="270"/>
    </row>
    <row r="7421" spans="1:3" ht="47.25" x14ac:dyDescent="0.25">
      <c r="A7421" s="22" t="s">
        <v>11713</v>
      </c>
      <c r="B7421" s="137" t="s">
        <v>11714</v>
      </c>
      <c r="C7421" s="83">
        <v>399</v>
      </c>
    </row>
    <row r="7422" spans="1:3" x14ac:dyDescent="0.25">
      <c r="A7422" s="71"/>
      <c r="B7422" s="139"/>
      <c r="C7422" s="88"/>
    </row>
    <row r="7423" spans="1:3" ht="36" x14ac:dyDescent="0.25">
      <c r="A7423" s="218">
        <v>0</v>
      </c>
      <c r="B7423" s="241" t="s">
        <v>11715</v>
      </c>
      <c r="C7423" s="270"/>
    </row>
    <row r="7424" spans="1:3" ht="63" x14ac:dyDescent="0.25">
      <c r="A7424" s="22" t="s">
        <v>11716</v>
      </c>
      <c r="B7424" s="137" t="s">
        <v>11717</v>
      </c>
      <c r="C7424" s="83">
        <v>39</v>
      </c>
    </row>
    <row r="7425" spans="1:3" ht="110.25" x14ac:dyDescent="0.25">
      <c r="A7425" s="22" t="s">
        <v>11718</v>
      </c>
      <c r="B7425" s="137" t="s">
        <v>11719</v>
      </c>
      <c r="C7425" s="83">
        <v>109</v>
      </c>
    </row>
    <row r="7426" spans="1:3" ht="110.25" x14ac:dyDescent="0.25">
      <c r="A7426" s="22" t="s">
        <v>11720</v>
      </c>
      <c r="B7426" s="137" t="s">
        <v>11721</v>
      </c>
      <c r="C7426" s="83">
        <v>49</v>
      </c>
    </row>
    <row r="7427" spans="1:3" x14ac:dyDescent="0.25">
      <c r="A7427" s="71">
        <v>0</v>
      </c>
      <c r="B7427" s="139">
        <v>0</v>
      </c>
      <c r="C7427" s="88"/>
    </row>
    <row r="7428" spans="1:3" ht="54" x14ac:dyDescent="0.25">
      <c r="A7428" s="218">
        <v>0</v>
      </c>
      <c r="B7428" s="241" t="s">
        <v>11722</v>
      </c>
      <c r="C7428" s="270"/>
    </row>
    <row r="7429" spans="1:3" ht="47.25" x14ac:dyDescent="0.25">
      <c r="A7429" s="127" t="s">
        <v>11723</v>
      </c>
      <c r="B7429" s="4" t="s">
        <v>11724</v>
      </c>
      <c r="C7429" s="83">
        <v>619</v>
      </c>
    </row>
    <row r="7430" spans="1:3" ht="47.25" x14ac:dyDescent="0.25">
      <c r="A7430" s="127" t="s">
        <v>11725</v>
      </c>
      <c r="B7430" s="4" t="s">
        <v>11726</v>
      </c>
      <c r="C7430" s="83">
        <v>619</v>
      </c>
    </row>
    <row r="7431" spans="1:3" x14ac:dyDescent="0.25">
      <c r="A7431" s="71">
        <v>0</v>
      </c>
      <c r="B7431" s="139">
        <v>0</v>
      </c>
      <c r="C7431" s="88"/>
    </row>
    <row r="7432" spans="1:3" ht="54" x14ac:dyDescent="0.25">
      <c r="A7432" s="218">
        <v>0</v>
      </c>
      <c r="B7432" s="241" t="s">
        <v>11727</v>
      </c>
      <c r="C7432" s="270"/>
    </row>
    <row r="7433" spans="1:3" ht="63" x14ac:dyDescent="0.25">
      <c r="A7433" s="22" t="s">
        <v>11728</v>
      </c>
      <c r="B7433" s="24" t="s">
        <v>11729</v>
      </c>
      <c r="C7433" s="83">
        <v>819</v>
      </c>
    </row>
    <row r="7434" spans="1:3" ht="47.25" x14ac:dyDescent="0.25">
      <c r="A7434" s="22" t="s">
        <v>11730</v>
      </c>
      <c r="B7434" s="24" t="s">
        <v>11731</v>
      </c>
      <c r="C7434" s="83">
        <v>819</v>
      </c>
    </row>
    <row r="7435" spans="1:3" ht="78.75" x14ac:dyDescent="0.25">
      <c r="A7435" s="127" t="s">
        <v>11732</v>
      </c>
      <c r="B7435" s="4" t="s">
        <v>11733</v>
      </c>
      <c r="C7435" s="83">
        <v>739</v>
      </c>
    </row>
    <row r="7436" spans="1:3" ht="78.75" x14ac:dyDescent="0.25">
      <c r="A7436" s="127" t="s">
        <v>11734</v>
      </c>
      <c r="B7436" s="4" t="s">
        <v>11735</v>
      </c>
      <c r="C7436" s="83">
        <v>739</v>
      </c>
    </row>
    <row r="7437" spans="1:3" x14ac:dyDescent="0.25">
      <c r="A7437" s="71">
        <v>0</v>
      </c>
      <c r="B7437" s="139">
        <v>0</v>
      </c>
      <c r="C7437" s="88"/>
    </row>
    <row r="7438" spans="1:3" ht="18" x14ac:dyDescent="0.25">
      <c r="A7438" s="218">
        <v>0</v>
      </c>
      <c r="B7438" s="241" t="s">
        <v>11736</v>
      </c>
      <c r="C7438" s="270"/>
    </row>
    <row r="7439" spans="1:3" ht="63" x14ac:dyDescent="0.25">
      <c r="A7439" s="132" t="s">
        <v>11737</v>
      </c>
      <c r="B7439" s="137" t="s">
        <v>11738</v>
      </c>
      <c r="C7439" s="83">
        <v>359</v>
      </c>
    </row>
    <row r="7440" spans="1:3" ht="63" x14ac:dyDescent="0.25">
      <c r="A7440" s="132" t="s">
        <v>11739</v>
      </c>
      <c r="B7440" s="137" t="s">
        <v>11740</v>
      </c>
      <c r="C7440" s="83">
        <v>359</v>
      </c>
    </row>
    <row r="7441" spans="1:3" ht="63" x14ac:dyDescent="0.25">
      <c r="A7441" s="132" t="s">
        <v>11741</v>
      </c>
      <c r="B7441" s="137" t="s">
        <v>11742</v>
      </c>
      <c r="C7441" s="83">
        <v>359</v>
      </c>
    </row>
    <row r="7442" spans="1:3" ht="47.25" x14ac:dyDescent="0.25">
      <c r="A7442" s="132" t="s">
        <v>11743</v>
      </c>
      <c r="B7442" s="137" t="s">
        <v>11744</v>
      </c>
      <c r="C7442" s="83">
        <v>359</v>
      </c>
    </row>
    <row r="7443" spans="1:3" x14ac:dyDescent="0.25">
      <c r="A7443" s="71">
        <v>0</v>
      </c>
      <c r="B7443" s="139">
        <v>0</v>
      </c>
      <c r="C7443" s="88"/>
    </row>
    <row r="7444" spans="1:3" ht="18" x14ac:dyDescent="0.25">
      <c r="A7444" s="218">
        <v>0</v>
      </c>
      <c r="B7444" s="241" t="s">
        <v>11745</v>
      </c>
      <c r="C7444" s="270"/>
    </row>
    <row r="7445" spans="1:3" ht="31.5" x14ac:dyDescent="0.25">
      <c r="A7445" s="22" t="s">
        <v>11529</v>
      </c>
      <c r="B7445" s="24" t="s">
        <v>11530</v>
      </c>
      <c r="C7445" s="83">
        <v>199</v>
      </c>
    </row>
    <row r="7446" spans="1:3" x14ac:dyDescent="0.25">
      <c r="A7446" s="71">
        <v>0</v>
      </c>
      <c r="B7446" s="139">
        <v>0</v>
      </c>
      <c r="C7446" s="88"/>
    </row>
    <row r="7447" spans="1:3" ht="18" x14ac:dyDescent="0.25">
      <c r="A7447" s="218">
        <v>0</v>
      </c>
      <c r="B7447" s="241" t="s">
        <v>11746</v>
      </c>
      <c r="C7447" s="270"/>
    </row>
    <row r="7448" spans="1:3" ht="31.5" x14ac:dyDescent="0.25">
      <c r="A7448" s="22" t="s">
        <v>11747</v>
      </c>
      <c r="B7448" s="24" t="s">
        <v>11748</v>
      </c>
      <c r="C7448" s="83">
        <v>129</v>
      </c>
    </row>
    <row r="7449" spans="1:3" ht="31.5" x14ac:dyDescent="0.25">
      <c r="A7449" s="22" t="s">
        <v>11749</v>
      </c>
      <c r="B7449" s="24" t="s">
        <v>11750</v>
      </c>
      <c r="C7449" s="83">
        <v>129</v>
      </c>
    </row>
    <row r="7450" spans="1:3" ht="31.5" x14ac:dyDescent="0.25">
      <c r="A7450" s="22" t="s">
        <v>11751</v>
      </c>
      <c r="B7450" s="24" t="s">
        <v>11752</v>
      </c>
      <c r="C7450" s="83">
        <v>159</v>
      </c>
    </row>
    <row r="7451" spans="1:3" ht="31.5" x14ac:dyDescent="0.25">
      <c r="A7451" s="22" t="s">
        <v>11753</v>
      </c>
      <c r="B7451" s="24" t="s">
        <v>11754</v>
      </c>
      <c r="C7451" s="83">
        <v>159</v>
      </c>
    </row>
    <row r="7452" spans="1:3" ht="31.5" x14ac:dyDescent="0.25">
      <c r="A7452" s="22" t="s">
        <v>11755</v>
      </c>
      <c r="B7452" s="24" t="s">
        <v>11756</v>
      </c>
      <c r="C7452" s="83">
        <v>249</v>
      </c>
    </row>
    <row r="7453" spans="1:3" ht="31.5" x14ac:dyDescent="0.25">
      <c r="A7453" s="22" t="s">
        <v>11757</v>
      </c>
      <c r="B7453" s="24" t="s">
        <v>11758</v>
      </c>
      <c r="C7453" s="83">
        <v>249</v>
      </c>
    </row>
    <row r="7454" spans="1:3" ht="31.5" x14ac:dyDescent="0.25">
      <c r="A7454" s="22" t="s">
        <v>11759</v>
      </c>
      <c r="B7454" s="24" t="s">
        <v>11760</v>
      </c>
      <c r="C7454" s="83">
        <v>9</v>
      </c>
    </row>
    <row r="7455" spans="1:3" x14ac:dyDescent="0.25">
      <c r="A7455" s="71">
        <v>0</v>
      </c>
      <c r="B7455" s="139">
        <v>0</v>
      </c>
      <c r="C7455" s="88"/>
    </row>
    <row r="7456" spans="1:3" ht="18" x14ac:dyDescent="0.25">
      <c r="A7456" s="218">
        <v>0</v>
      </c>
      <c r="B7456" s="241" t="s">
        <v>11761</v>
      </c>
      <c r="C7456" s="270"/>
    </row>
    <row r="7457" spans="1:3" ht="31.5" x14ac:dyDescent="0.25">
      <c r="A7457" s="22" t="s">
        <v>11762</v>
      </c>
      <c r="B7457" s="24" t="s">
        <v>11763</v>
      </c>
      <c r="C7457" s="83">
        <v>8.99</v>
      </c>
    </row>
    <row r="7458" spans="1:3" x14ac:dyDescent="0.25">
      <c r="A7458" s="71">
        <v>0</v>
      </c>
      <c r="B7458" s="139">
        <v>0</v>
      </c>
      <c r="C7458" s="88"/>
    </row>
    <row r="7459" spans="1:3" ht="18" x14ac:dyDescent="0.25">
      <c r="A7459" s="218">
        <v>0</v>
      </c>
      <c r="B7459" s="241" t="s">
        <v>11764</v>
      </c>
      <c r="C7459" s="270"/>
    </row>
    <row r="7460" spans="1:3" x14ac:dyDescent="0.25">
      <c r="A7460" s="22" t="s">
        <v>11765</v>
      </c>
      <c r="B7460" s="24" t="s">
        <v>11766</v>
      </c>
      <c r="C7460" s="83">
        <v>49</v>
      </c>
    </row>
    <row r="7461" spans="1:3" x14ac:dyDescent="0.25">
      <c r="B7461" s="133"/>
    </row>
    <row r="7462" spans="1:3" ht="18" x14ac:dyDescent="0.25">
      <c r="A7462" s="250" t="s">
        <v>11767</v>
      </c>
      <c r="B7462" s="187"/>
      <c r="C7462" s="252"/>
    </row>
    <row r="7463" spans="1:3" ht="18" x14ac:dyDescent="0.25">
      <c r="A7463" s="271" t="s">
        <v>11768</v>
      </c>
      <c r="B7463" s="238"/>
      <c r="C7463" s="229"/>
    </row>
    <row r="7464" spans="1:3" ht="31.5" x14ac:dyDescent="0.25">
      <c r="A7464" s="132" t="s">
        <v>11769</v>
      </c>
      <c r="B7464" s="76" t="s">
        <v>11770</v>
      </c>
      <c r="C7464" s="83">
        <v>679</v>
      </c>
    </row>
    <row r="7465" spans="1:3" ht="63" x14ac:dyDescent="0.25">
      <c r="A7465" s="132" t="s">
        <v>11771</v>
      </c>
      <c r="B7465" s="76" t="s">
        <v>11772</v>
      </c>
      <c r="C7465" s="83">
        <v>3449</v>
      </c>
    </row>
    <row r="7466" spans="1:3" ht="31.5" x14ac:dyDescent="0.25">
      <c r="A7466" s="132" t="s">
        <v>11773</v>
      </c>
      <c r="B7466" s="76" t="s">
        <v>11774</v>
      </c>
      <c r="C7466" s="83">
        <v>2499</v>
      </c>
    </row>
    <row r="7467" spans="1:3" ht="31.5" x14ac:dyDescent="0.25">
      <c r="A7467" s="132" t="s">
        <v>11775</v>
      </c>
      <c r="B7467" s="76" t="s">
        <v>11776</v>
      </c>
      <c r="C7467" s="83">
        <v>439</v>
      </c>
    </row>
    <row r="7468" spans="1:3" ht="47.25" x14ac:dyDescent="0.25">
      <c r="A7468" s="132" t="s">
        <v>11777</v>
      </c>
      <c r="B7468" s="76" t="s">
        <v>11778</v>
      </c>
      <c r="C7468" s="83">
        <v>779</v>
      </c>
    </row>
    <row r="7469" spans="1:3" x14ac:dyDescent="0.25">
      <c r="A7469" s="161"/>
      <c r="B7469" s="139"/>
      <c r="C7469" s="88"/>
    </row>
    <row r="7470" spans="1:3" ht="18" x14ac:dyDescent="0.25">
      <c r="A7470" s="250" t="s">
        <v>11779</v>
      </c>
      <c r="B7470" s="238"/>
      <c r="C7470" s="270"/>
    </row>
    <row r="7471" spans="1:3" ht="18" x14ac:dyDescent="0.25">
      <c r="A7471" s="271" t="s">
        <v>11780</v>
      </c>
      <c r="B7471" s="238"/>
      <c r="C7471" s="270"/>
    </row>
    <row r="7472" spans="1:3" ht="31.5" x14ac:dyDescent="0.25">
      <c r="A7472" s="132" t="s">
        <v>11781</v>
      </c>
      <c r="B7472" s="76" t="s">
        <v>11770</v>
      </c>
      <c r="C7472" s="83">
        <v>679</v>
      </c>
    </row>
    <row r="7473" spans="1:3" ht="63" x14ac:dyDescent="0.25">
      <c r="A7473" s="132" t="s">
        <v>11782</v>
      </c>
      <c r="B7473" s="76" t="s">
        <v>11772</v>
      </c>
      <c r="C7473" s="83">
        <v>3449</v>
      </c>
    </row>
    <row r="7474" spans="1:3" ht="31.5" x14ac:dyDescent="0.25">
      <c r="A7474" s="132" t="s">
        <v>11783</v>
      </c>
      <c r="B7474" s="76" t="s">
        <v>11774</v>
      </c>
      <c r="C7474" s="83">
        <v>2499</v>
      </c>
    </row>
    <row r="7475" spans="1:3" ht="31.5" x14ac:dyDescent="0.25">
      <c r="A7475" s="132" t="s">
        <v>11784</v>
      </c>
      <c r="B7475" s="76" t="s">
        <v>11785</v>
      </c>
      <c r="C7475" s="83">
        <v>449</v>
      </c>
    </row>
    <row r="7476" spans="1:3" ht="47.25" x14ac:dyDescent="0.25">
      <c r="A7476" s="132" t="s">
        <v>11786</v>
      </c>
      <c r="B7476" s="76" t="s">
        <v>11787</v>
      </c>
      <c r="C7476" s="83">
        <v>779</v>
      </c>
    </row>
    <row r="7477" spans="1:3" x14ac:dyDescent="0.25">
      <c r="A7477" s="161"/>
      <c r="B7477" s="139"/>
      <c r="C7477" s="88"/>
    </row>
    <row r="7478" spans="1:3" ht="18" x14ac:dyDescent="0.25">
      <c r="A7478" s="250" t="s">
        <v>11788</v>
      </c>
      <c r="B7478" s="238"/>
      <c r="C7478" s="270"/>
    </row>
    <row r="7479" spans="1:3" ht="31.5" x14ac:dyDescent="0.25">
      <c r="A7479" s="132" t="s">
        <v>11789</v>
      </c>
      <c r="B7479" s="76" t="s">
        <v>11770</v>
      </c>
      <c r="C7479" s="83">
        <v>679</v>
      </c>
    </row>
    <row r="7480" spans="1:3" ht="63" x14ac:dyDescent="0.25">
      <c r="A7480" s="132" t="s">
        <v>11790</v>
      </c>
      <c r="B7480" s="76" t="s">
        <v>11772</v>
      </c>
      <c r="C7480" s="83">
        <v>3449</v>
      </c>
    </row>
    <row r="7481" spans="1:3" ht="31.5" x14ac:dyDescent="0.25">
      <c r="A7481" s="132" t="s">
        <v>11791</v>
      </c>
      <c r="B7481" s="76" t="s">
        <v>11774</v>
      </c>
      <c r="C7481" s="83">
        <v>2499</v>
      </c>
    </row>
    <row r="7482" spans="1:3" x14ac:dyDescent="0.25">
      <c r="A7482" s="161"/>
      <c r="B7482" s="139"/>
      <c r="C7482" s="88"/>
    </row>
    <row r="7483" spans="1:3" ht="18" x14ac:dyDescent="0.25">
      <c r="A7483" s="250" t="s">
        <v>11792</v>
      </c>
      <c r="B7483" s="238"/>
      <c r="C7483" s="270"/>
    </row>
    <row r="7484" spans="1:3" ht="31.5" x14ac:dyDescent="0.25">
      <c r="A7484" s="132" t="s">
        <v>11789</v>
      </c>
      <c r="B7484" s="76" t="s">
        <v>11770</v>
      </c>
      <c r="C7484" s="83">
        <v>679</v>
      </c>
    </row>
    <row r="7485" spans="1:3" ht="63" x14ac:dyDescent="0.25">
      <c r="A7485" s="132" t="s">
        <v>11790</v>
      </c>
      <c r="B7485" s="76" t="s">
        <v>11772</v>
      </c>
      <c r="C7485" s="83">
        <v>3449</v>
      </c>
    </row>
    <row r="7486" spans="1:3" ht="31.5" x14ac:dyDescent="0.25">
      <c r="A7486" s="132" t="s">
        <v>11791</v>
      </c>
      <c r="B7486" s="76" t="s">
        <v>11774</v>
      </c>
      <c r="C7486" s="83">
        <v>2499</v>
      </c>
    </row>
    <row r="7487" spans="1:3" ht="31.5" x14ac:dyDescent="0.25">
      <c r="A7487" s="132" t="s">
        <v>11793</v>
      </c>
      <c r="B7487" s="76" t="s">
        <v>11785</v>
      </c>
      <c r="C7487" s="83">
        <v>449</v>
      </c>
    </row>
    <row r="7488" spans="1:3" ht="47.25" x14ac:dyDescent="0.25">
      <c r="A7488" s="132" t="s">
        <v>11794</v>
      </c>
      <c r="B7488" s="76" t="s">
        <v>11787</v>
      </c>
      <c r="C7488" s="83">
        <v>779</v>
      </c>
    </row>
    <row r="7489" spans="1:3" x14ac:dyDescent="0.25">
      <c r="A7489" s="161"/>
      <c r="B7489" s="139"/>
      <c r="C7489" s="88"/>
    </row>
    <row r="7490" spans="1:3" ht="18" x14ac:dyDescent="0.25">
      <c r="A7490" s="250" t="s">
        <v>11795</v>
      </c>
      <c r="B7490" s="238"/>
      <c r="C7490" s="270"/>
    </row>
    <row r="7491" spans="1:3" ht="31.5" x14ac:dyDescent="0.25">
      <c r="A7491" s="132" t="s">
        <v>11796</v>
      </c>
      <c r="B7491" s="76" t="s">
        <v>11770</v>
      </c>
      <c r="C7491" s="83">
        <v>679</v>
      </c>
    </row>
    <row r="7492" spans="1:3" ht="63" x14ac:dyDescent="0.25">
      <c r="A7492" s="132" t="s">
        <v>11797</v>
      </c>
      <c r="B7492" s="76" t="s">
        <v>11772</v>
      </c>
      <c r="C7492" s="83">
        <v>3449</v>
      </c>
    </row>
    <row r="7493" spans="1:3" ht="31.5" x14ac:dyDescent="0.25">
      <c r="A7493" s="132" t="s">
        <v>11798</v>
      </c>
      <c r="B7493" s="76" t="s">
        <v>11774</v>
      </c>
      <c r="C7493" s="83">
        <v>2499</v>
      </c>
    </row>
    <row r="7494" spans="1:3" ht="31.5" x14ac:dyDescent="0.25">
      <c r="A7494" s="132" t="s">
        <v>11799</v>
      </c>
      <c r="B7494" s="76" t="s">
        <v>11785</v>
      </c>
      <c r="C7494" s="83">
        <v>449</v>
      </c>
    </row>
    <row r="7495" spans="1:3" ht="47.25" x14ac:dyDescent="0.25">
      <c r="A7495" s="132" t="s">
        <v>11800</v>
      </c>
      <c r="B7495" s="76" t="s">
        <v>11787</v>
      </c>
      <c r="C7495" s="83">
        <v>779</v>
      </c>
    </row>
    <row r="7496" spans="1:3" x14ac:dyDescent="0.25">
      <c r="A7496" s="161"/>
      <c r="B7496" s="139"/>
      <c r="C7496" s="88"/>
    </row>
    <row r="7497" spans="1:3" ht="18" x14ac:dyDescent="0.25">
      <c r="A7497" s="250" t="s">
        <v>11801</v>
      </c>
      <c r="B7497" s="238"/>
      <c r="C7497" s="270"/>
    </row>
    <row r="7498" spans="1:3" ht="31.5" x14ac:dyDescent="0.25">
      <c r="A7498" s="132" t="s">
        <v>11802</v>
      </c>
      <c r="B7498" s="76" t="s">
        <v>11770</v>
      </c>
      <c r="C7498" s="83">
        <v>679</v>
      </c>
    </row>
    <row r="7499" spans="1:3" ht="63" x14ac:dyDescent="0.25">
      <c r="A7499" s="132" t="s">
        <v>11803</v>
      </c>
      <c r="B7499" s="76" t="s">
        <v>11772</v>
      </c>
      <c r="C7499" s="83">
        <v>3449</v>
      </c>
    </row>
    <row r="7500" spans="1:3" ht="31.5" x14ac:dyDescent="0.25">
      <c r="A7500" s="132" t="s">
        <v>11804</v>
      </c>
      <c r="B7500" s="76" t="s">
        <v>11774</v>
      </c>
      <c r="C7500" s="83">
        <v>2499</v>
      </c>
    </row>
    <row r="7501" spans="1:3" ht="31.5" x14ac:dyDescent="0.25">
      <c r="A7501" s="132" t="s">
        <v>11805</v>
      </c>
      <c r="B7501" s="76" t="s">
        <v>11785</v>
      </c>
      <c r="C7501" s="83">
        <v>449</v>
      </c>
    </row>
    <row r="7502" spans="1:3" ht="47.25" x14ac:dyDescent="0.25">
      <c r="A7502" s="132" t="s">
        <v>11800</v>
      </c>
      <c r="B7502" s="76" t="s">
        <v>11787</v>
      </c>
      <c r="C7502" s="83">
        <v>779</v>
      </c>
    </row>
    <row r="7503" spans="1:3" x14ac:dyDescent="0.25">
      <c r="A7503" s="161"/>
      <c r="B7503" s="139"/>
      <c r="C7503" s="88"/>
    </row>
    <row r="7504" spans="1:3" ht="18" x14ac:dyDescent="0.25">
      <c r="A7504" s="250" t="s">
        <v>11806</v>
      </c>
      <c r="B7504" s="238"/>
      <c r="C7504" s="270"/>
    </row>
    <row r="7505" spans="1:3" ht="31.5" x14ac:dyDescent="0.25">
      <c r="A7505" s="132" t="s">
        <v>11807</v>
      </c>
      <c r="B7505" s="76" t="s">
        <v>11770</v>
      </c>
      <c r="C7505" s="83">
        <v>679</v>
      </c>
    </row>
    <row r="7506" spans="1:3" ht="63" x14ac:dyDescent="0.25">
      <c r="A7506" s="132" t="s">
        <v>11808</v>
      </c>
      <c r="B7506" s="76" t="s">
        <v>11772</v>
      </c>
      <c r="C7506" s="83">
        <v>3449</v>
      </c>
    </row>
    <row r="7507" spans="1:3" ht="31.5" x14ac:dyDescent="0.25">
      <c r="A7507" s="132" t="s">
        <v>11809</v>
      </c>
      <c r="B7507" s="76" t="s">
        <v>11774</v>
      </c>
      <c r="C7507" s="83">
        <v>2499</v>
      </c>
    </row>
    <row r="7508" spans="1:3" ht="31.5" x14ac:dyDescent="0.25">
      <c r="A7508" s="132" t="s">
        <v>11810</v>
      </c>
      <c r="B7508" s="76" t="s">
        <v>11785</v>
      </c>
      <c r="C7508" s="83">
        <v>449</v>
      </c>
    </row>
    <row r="7509" spans="1:3" ht="47.25" x14ac:dyDescent="0.25">
      <c r="A7509" s="132" t="s">
        <v>11811</v>
      </c>
      <c r="B7509" s="76" t="s">
        <v>11787</v>
      </c>
      <c r="C7509" s="83">
        <v>779</v>
      </c>
    </row>
    <row r="7510" spans="1:3" x14ac:dyDescent="0.25">
      <c r="A7510" s="161"/>
      <c r="B7510" s="139"/>
      <c r="C7510" s="88"/>
    </row>
    <row r="7511" spans="1:3" ht="18" x14ac:dyDescent="0.25">
      <c r="A7511" s="250" t="s">
        <v>11812</v>
      </c>
      <c r="B7511" s="238"/>
      <c r="C7511" s="270"/>
    </row>
    <row r="7512" spans="1:3" ht="31.5" x14ac:dyDescent="0.25">
      <c r="A7512" s="132" t="s">
        <v>11813</v>
      </c>
      <c r="B7512" s="76" t="s">
        <v>11770</v>
      </c>
      <c r="C7512" s="83">
        <v>679</v>
      </c>
    </row>
    <row r="7513" spans="1:3" ht="63" x14ac:dyDescent="0.25">
      <c r="A7513" s="132" t="s">
        <v>11814</v>
      </c>
      <c r="B7513" s="76" t="s">
        <v>11772</v>
      </c>
      <c r="C7513" s="83">
        <v>3449</v>
      </c>
    </row>
    <row r="7514" spans="1:3" ht="31.5" x14ac:dyDescent="0.25">
      <c r="A7514" s="132" t="s">
        <v>11815</v>
      </c>
      <c r="B7514" s="76" t="s">
        <v>11774</v>
      </c>
      <c r="C7514" s="83">
        <v>2499</v>
      </c>
    </row>
    <row r="7515" spans="1:3" ht="31.5" x14ac:dyDescent="0.25">
      <c r="A7515" s="132" t="s">
        <v>11816</v>
      </c>
      <c r="B7515" s="76" t="s">
        <v>11817</v>
      </c>
      <c r="C7515" s="83">
        <v>449</v>
      </c>
    </row>
    <row r="7516" spans="1:3" ht="47.25" x14ac:dyDescent="0.25">
      <c r="A7516" s="132" t="s">
        <v>11818</v>
      </c>
      <c r="B7516" s="76" t="s">
        <v>11787</v>
      </c>
      <c r="C7516" s="83">
        <v>779</v>
      </c>
    </row>
    <row r="7517" spans="1:3" x14ac:dyDescent="0.25">
      <c r="A7517" s="161"/>
      <c r="B7517" s="139"/>
      <c r="C7517" s="88"/>
    </row>
    <row r="7518" spans="1:3" ht="18" x14ac:dyDescent="0.25">
      <c r="A7518" s="250" t="s">
        <v>11819</v>
      </c>
      <c r="B7518" s="238"/>
      <c r="C7518" s="270"/>
    </row>
    <row r="7519" spans="1:3" ht="31.5" x14ac:dyDescent="0.25">
      <c r="A7519" s="132" t="s">
        <v>11820</v>
      </c>
      <c r="B7519" s="76" t="s">
        <v>11770</v>
      </c>
      <c r="C7519" s="83">
        <v>679</v>
      </c>
    </row>
    <row r="7520" spans="1:3" ht="63" x14ac:dyDescent="0.25">
      <c r="A7520" s="132" t="s">
        <v>11821</v>
      </c>
      <c r="B7520" s="76" t="s">
        <v>11772</v>
      </c>
      <c r="C7520" s="83">
        <v>3449</v>
      </c>
    </row>
    <row r="7521" spans="1:3" ht="31.5" x14ac:dyDescent="0.25">
      <c r="A7521" s="132" t="s">
        <v>11822</v>
      </c>
      <c r="B7521" s="76" t="s">
        <v>11774</v>
      </c>
      <c r="C7521" s="83">
        <v>2499</v>
      </c>
    </row>
    <row r="7522" spans="1:3" ht="31.5" x14ac:dyDescent="0.25">
      <c r="A7522" s="132" t="s">
        <v>11823</v>
      </c>
      <c r="B7522" s="76" t="s">
        <v>11785</v>
      </c>
      <c r="C7522" s="83">
        <v>449</v>
      </c>
    </row>
    <row r="7523" spans="1:3" ht="47.25" x14ac:dyDescent="0.25">
      <c r="A7523" s="132" t="s">
        <v>11824</v>
      </c>
      <c r="B7523" s="76" t="s">
        <v>11787</v>
      </c>
      <c r="C7523" s="83">
        <v>779</v>
      </c>
    </row>
    <row r="7524" spans="1:3" x14ac:dyDescent="0.25">
      <c r="A7524" s="161"/>
      <c r="B7524" s="139"/>
      <c r="C7524" s="88"/>
    </row>
    <row r="7525" spans="1:3" ht="18" x14ac:dyDescent="0.25">
      <c r="A7525" s="250" t="s">
        <v>11825</v>
      </c>
      <c r="B7525" s="238"/>
      <c r="C7525" s="270"/>
    </row>
    <row r="7526" spans="1:3" ht="31.5" x14ac:dyDescent="0.25">
      <c r="A7526" s="132" t="s">
        <v>11826</v>
      </c>
      <c r="B7526" s="76" t="s">
        <v>11770</v>
      </c>
      <c r="C7526" s="83">
        <v>679</v>
      </c>
    </row>
    <row r="7527" spans="1:3" ht="63" x14ac:dyDescent="0.25">
      <c r="A7527" s="132" t="s">
        <v>11827</v>
      </c>
      <c r="B7527" s="76" t="s">
        <v>11772</v>
      </c>
      <c r="C7527" s="83">
        <v>3449</v>
      </c>
    </row>
    <row r="7528" spans="1:3" ht="31.5" x14ac:dyDescent="0.25">
      <c r="A7528" s="132" t="s">
        <v>11828</v>
      </c>
      <c r="B7528" s="76" t="s">
        <v>11774</v>
      </c>
      <c r="C7528" s="83">
        <v>2499</v>
      </c>
    </row>
    <row r="7529" spans="1:3" ht="31.5" x14ac:dyDescent="0.25">
      <c r="A7529" s="132" t="s">
        <v>11829</v>
      </c>
      <c r="B7529" s="76" t="s">
        <v>11817</v>
      </c>
      <c r="C7529" s="83">
        <v>449</v>
      </c>
    </row>
    <row r="7530" spans="1:3" ht="47.25" x14ac:dyDescent="0.25">
      <c r="A7530" s="132" t="s">
        <v>11830</v>
      </c>
      <c r="B7530" s="76" t="s">
        <v>11787</v>
      </c>
      <c r="C7530" s="83">
        <v>779</v>
      </c>
    </row>
    <row r="7531" spans="1:3" x14ac:dyDescent="0.25">
      <c r="A7531" s="162" t="s">
        <v>11831</v>
      </c>
      <c r="B7531" s="112" t="s">
        <v>11832</v>
      </c>
      <c r="C7531" s="93">
        <v>3</v>
      </c>
    </row>
    <row r="7532" spans="1:3" x14ac:dyDescent="0.25">
      <c r="A7532" s="162" t="s">
        <v>11833</v>
      </c>
      <c r="B7532" s="112" t="s">
        <v>11834</v>
      </c>
      <c r="C7532" s="93">
        <v>3</v>
      </c>
    </row>
    <row r="7533" spans="1:3" x14ac:dyDescent="0.25">
      <c r="A7533" s="163" t="s">
        <v>11835</v>
      </c>
      <c r="B7533" s="78" t="s">
        <v>11836</v>
      </c>
      <c r="C7533" s="94">
        <v>12</v>
      </c>
    </row>
    <row r="7534" spans="1:3" x14ac:dyDescent="0.25">
      <c r="A7534" s="162" t="s">
        <v>11837</v>
      </c>
      <c r="B7534" s="112" t="s">
        <v>11838</v>
      </c>
      <c r="C7534" s="93">
        <v>13</v>
      </c>
    </row>
    <row r="7535" spans="1:3" x14ac:dyDescent="0.25">
      <c r="A7535" s="162" t="s">
        <v>11839</v>
      </c>
      <c r="B7535" s="112" t="s">
        <v>11840</v>
      </c>
      <c r="C7535" s="93">
        <v>13</v>
      </c>
    </row>
    <row r="7536" spans="1:3" x14ac:dyDescent="0.25">
      <c r="A7536" s="15" t="s">
        <v>11841</v>
      </c>
      <c r="B7536" s="15" t="s">
        <v>11842</v>
      </c>
      <c r="C7536" s="94">
        <v>13</v>
      </c>
    </row>
    <row r="7537" spans="1:3" x14ac:dyDescent="0.25">
      <c r="A7537" s="15" t="s">
        <v>11843</v>
      </c>
      <c r="B7537" s="15" t="s">
        <v>11844</v>
      </c>
      <c r="C7537" s="94">
        <v>13</v>
      </c>
    </row>
    <row r="7538" spans="1:3" x14ac:dyDescent="0.25">
      <c r="A7538" s="162" t="s">
        <v>11845</v>
      </c>
      <c r="B7538" s="112" t="s">
        <v>11846</v>
      </c>
      <c r="C7538" s="93">
        <v>15</v>
      </c>
    </row>
    <row r="7539" spans="1:3" x14ac:dyDescent="0.25">
      <c r="A7539" s="162" t="s">
        <v>11847</v>
      </c>
      <c r="B7539" s="112" t="s">
        <v>11848</v>
      </c>
      <c r="C7539" s="93">
        <v>19</v>
      </c>
    </row>
    <row r="7540" spans="1:3" x14ac:dyDescent="0.25">
      <c r="A7540" s="162" t="s">
        <v>11849</v>
      </c>
      <c r="B7540" s="112" t="s">
        <v>11850</v>
      </c>
      <c r="C7540" s="93">
        <v>19</v>
      </c>
    </row>
    <row r="7541" spans="1:3" x14ac:dyDescent="0.25">
      <c r="A7541" s="163" t="s">
        <v>11851</v>
      </c>
      <c r="B7541" s="78" t="s">
        <v>15598</v>
      </c>
      <c r="C7541" s="94">
        <v>20</v>
      </c>
    </row>
    <row r="7542" spans="1:3" x14ac:dyDescent="0.25">
      <c r="A7542" s="78" t="s">
        <v>11852</v>
      </c>
      <c r="B7542" s="78" t="s">
        <v>15599</v>
      </c>
      <c r="C7542" s="94">
        <v>20</v>
      </c>
    </row>
    <row r="7543" spans="1:3" x14ac:dyDescent="0.25">
      <c r="A7543" s="163" t="s">
        <v>11853</v>
      </c>
      <c r="B7543" s="78" t="s">
        <v>11854</v>
      </c>
      <c r="C7543" s="94">
        <v>20</v>
      </c>
    </row>
    <row r="7544" spans="1:3" x14ac:dyDescent="0.25">
      <c r="A7544" s="163" t="s">
        <v>11855</v>
      </c>
      <c r="B7544" s="78" t="s">
        <v>11856</v>
      </c>
      <c r="C7544" s="94">
        <v>20</v>
      </c>
    </row>
    <row r="7545" spans="1:3" x14ac:dyDescent="0.25">
      <c r="A7545" s="163" t="s">
        <v>11857</v>
      </c>
      <c r="B7545" s="78" t="s">
        <v>11858</v>
      </c>
      <c r="C7545" s="94">
        <v>20</v>
      </c>
    </row>
    <row r="7546" spans="1:3" x14ac:dyDescent="0.25">
      <c r="A7546" s="163" t="s">
        <v>11859</v>
      </c>
      <c r="B7546" s="78" t="s">
        <v>11860</v>
      </c>
      <c r="C7546" s="94">
        <v>20</v>
      </c>
    </row>
    <row r="7547" spans="1:3" x14ac:dyDescent="0.25">
      <c r="A7547" s="78" t="s">
        <v>11861</v>
      </c>
      <c r="B7547" s="78" t="s">
        <v>15600</v>
      </c>
      <c r="C7547" s="94">
        <v>25</v>
      </c>
    </row>
    <row r="7548" spans="1:3" x14ac:dyDescent="0.25">
      <c r="A7548" s="15" t="s">
        <v>11862</v>
      </c>
      <c r="B7548" s="15" t="s">
        <v>11863</v>
      </c>
      <c r="C7548" s="94">
        <v>25</v>
      </c>
    </row>
    <row r="7549" spans="1:3" x14ac:dyDescent="0.25">
      <c r="A7549" s="15" t="s">
        <v>11864</v>
      </c>
      <c r="B7549" s="15" t="s">
        <v>11865</v>
      </c>
      <c r="C7549" s="94">
        <v>25</v>
      </c>
    </row>
    <row r="7550" spans="1:3" x14ac:dyDescent="0.25">
      <c r="A7550" s="162" t="s">
        <v>11866</v>
      </c>
      <c r="B7550" s="112" t="s">
        <v>15601</v>
      </c>
      <c r="C7550" s="93">
        <v>26</v>
      </c>
    </row>
    <row r="7551" spans="1:3" x14ac:dyDescent="0.25">
      <c r="A7551" s="162" t="s">
        <v>11867</v>
      </c>
      <c r="B7551" s="112" t="s">
        <v>11868</v>
      </c>
      <c r="C7551" s="93">
        <v>26</v>
      </c>
    </row>
    <row r="7552" spans="1:3" x14ac:dyDescent="0.25">
      <c r="A7552" s="163" t="s">
        <v>11869</v>
      </c>
      <c r="B7552" s="78" t="s">
        <v>11870</v>
      </c>
      <c r="C7552" s="94">
        <v>26</v>
      </c>
    </row>
    <row r="7553" spans="1:3" x14ac:dyDescent="0.25">
      <c r="A7553" s="162" t="s">
        <v>11871</v>
      </c>
      <c r="B7553" s="112" t="s">
        <v>11872</v>
      </c>
      <c r="C7553" s="93">
        <v>26</v>
      </c>
    </row>
    <row r="7554" spans="1:3" ht="31.5" x14ac:dyDescent="0.25">
      <c r="A7554" s="163" t="s">
        <v>11873</v>
      </c>
      <c r="B7554" s="78" t="s">
        <v>15602</v>
      </c>
      <c r="C7554" s="94">
        <v>30</v>
      </c>
    </row>
    <row r="7555" spans="1:3" x14ac:dyDescent="0.25">
      <c r="A7555" s="162" t="s">
        <v>11874</v>
      </c>
      <c r="B7555" s="112" t="s">
        <v>11875</v>
      </c>
      <c r="C7555" s="93">
        <v>32</v>
      </c>
    </row>
    <row r="7556" spans="1:3" x14ac:dyDescent="0.25">
      <c r="A7556" s="162" t="s">
        <v>11876</v>
      </c>
      <c r="B7556" s="112" t="s">
        <v>11877</v>
      </c>
      <c r="C7556" s="93">
        <v>32</v>
      </c>
    </row>
    <row r="7557" spans="1:3" x14ac:dyDescent="0.25">
      <c r="A7557" s="78" t="s">
        <v>11878</v>
      </c>
      <c r="B7557" s="78" t="s">
        <v>15603</v>
      </c>
      <c r="C7557" s="94">
        <v>32</v>
      </c>
    </row>
    <row r="7558" spans="1:3" x14ac:dyDescent="0.25">
      <c r="A7558" s="15" t="s">
        <v>11879</v>
      </c>
      <c r="B7558" s="15" t="s">
        <v>15604</v>
      </c>
      <c r="C7558" s="94">
        <v>32</v>
      </c>
    </row>
    <row r="7559" spans="1:3" x14ac:dyDescent="0.25">
      <c r="A7559" s="115" t="s">
        <v>11880</v>
      </c>
      <c r="B7559" s="115" t="s">
        <v>15605</v>
      </c>
      <c r="C7559" s="93">
        <v>32</v>
      </c>
    </row>
    <row r="7560" spans="1:3" x14ac:dyDescent="0.25">
      <c r="A7560" s="162" t="s">
        <v>11881</v>
      </c>
      <c r="B7560" s="112" t="s">
        <v>11882</v>
      </c>
      <c r="C7560" s="93">
        <v>33</v>
      </c>
    </row>
    <row r="7561" spans="1:3" x14ac:dyDescent="0.25">
      <c r="A7561" s="162" t="s">
        <v>11883</v>
      </c>
      <c r="B7561" s="112" t="s">
        <v>11884</v>
      </c>
      <c r="C7561" s="93">
        <v>33</v>
      </c>
    </row>
    <row r="7562" spans="1:3" x14ac:dyDescent="0.25">
      <c r="A7562" s="163" t="s">
        <v>11885</v>
      </c>
      <c r="B7562" s="78" t="s">
        <v>11886</v>
      </c>
      <c r="C7562" s="94">
        <v>33</v>
      </c>
    </row>
    <row r="7563" spans="1:3" x14ac:dyDescent="0.25">
      <c r="A7563" s="162" t="s">
        <v>11887</v>
      </c>
      <c r="B7563" s="112" t="s">
        <v>11888</v>
      </c>
      <c r="C7563" s="93">
        <v>33</v>
      </c>
    </row>
    <row r="7564" spans="1:3" x14ac:dyDescent="0.25">
      <c r="A7564" s="162" t="s">
        <v>11889</v>
      </c>
      <c r="B7564" s="112" t="s">
        <v>11890</v>
      </c>
      <c r="C7564" s="93">
        <v>33</v>
      </c>
    </row>
    <row r="7565" spans="1:3" x14ac:dyDescent="0.25">
      <c r="A7565" s="162" t="s">
        <v>11891</v>
      </c>
      <c r="B7565" s="112" t="s">
        <v>15606</v>
      </c>
      <c r="C7565" s="93">
        <v>33</v>
      </c>
    </row>
    <row r="7566" spans="1:3" x14ac:dyDescent="0.25">
      <c r="A7566" s="78" t="s">
        <v>11892</v>
      </c>
      <c r="B7566" s="78" t="s">
        <v>15607</v>
      </c>
      <c r="C7566" s="94">
        <v>33</v>
      </c>
    </row>
    <row r="7567" spans="1:3" x14ac:dyDescent="0.25">
      <c r="A7567" s="78" t="s">
        <v>11893</v>
      </c>
      <c r="B7567" s="78" t="s">
        <v>15608</v>
      </c>
      <c r="C7567" s="94">
        <v>33</v>
      </c>
    </row>
    <row r="7568" spans="1:3" x14ac:dyDescent="0.25">
      <c r="A7568" s="163" t="s">
        <v>11894</v>
      </c>
      <c r="B7568" s="78" t="s">
        <v>15609</v>
      </c>
      <c r="C7568" s="94">
        <v>33</v>
      </c>
    </row>
    <row r="7569" spans="1:3" x14ac:dyDescent="0.25">
      <c r="A7569" s="163" t="s">
        <v>11895</v>
      </c>
      <c r="B7569" s="78" t="s">
        <v>15610</v>
      </c>
      <c r="C7569" s="94">
        <v>33</v>
      </c>
    </row>
    <row r="7570" spans="1:3" x14ac:dyDescent="0.25">
      <c r="A7570" s="115" t="s">
        <v>11896</v>
      </c>
      <c r="B7570" s="115" t="s">
        <v>15611</v>
      </c>
      <c r="C7570" s="93">
        <v>33</v>
      </c>
    </row>
    <row r="7571" spans="1:3" ht="31.5" x14ac:dyDescent="0.25">
      <c r="A7571" s="163" t="s">
        <v>11897</v>
      </c>
      <c r="B7571" s="78" t="s">
        <v>15612</v>
      </c>
      <c r="C7571" s="94">
        <v>33</v>
      </c>
    </row>
    <row r="7572" spans="1:3" x14ac:dyDescent="0.25">
      <c r="A7572" s="115" t="s">
        <v>11898</v>
      </c>
      <c r="B7572" s="115" t="s">
        <v>15613</v>
      </c>
      <c r="C7572" s="93">
        <v>37</v>
      </c>
    </row>
    <row r="7573" spans="1:3" x14ac:dyDescent="0.25">
      <c r="A7573" s="78" t="s">
        <v>11899</v>
      </c>
      <c r="B7573" s="78" t="s">
        <v>15614</v>
      </c>
      <c r="C7573" s="94">
        <v>37</v>
      </c>
    </row>
    <row r="7574" spans="1:3" x14ac:dyDescent="0.25">
      <c r="A7574" s="78" t="s">
        <v>11900</v>
      </c>
      <c r="B7574" s="78" t="s">
        <v>15615</v>
      </c>
      <c r="C7574" s="94">
        <v>37</v>
      </c>
    </row>
    <row r="7575" spans="1:3" x14ac:dyDescent="0.25">
      <c r="A7575" s="78" t="s">
        <v>11901</v>
      </c>
      <c r="B7575" s="78" t="s">
        <v>15616</v>
      </c>
      <c r="C7575" s="94">
        <v>37</v>
      </c>
    </row>
    <row r="7576" spans="1:3" x14ac:dyDescent="0.25">
      <c r="A7576" s="162" t="s">
        <v>11902</v>
      </c>
      <c r="B7576" s="112" t="s">
        <v>11903</v>
      </c>
      <c r="C7576" s="93">
        <v>37</v>
      </c>
    </row>
    <row r="7577" spans="1:3" x14ac:dyDescent="0.25">
      <c r="A7577" s="163" t="s">
        <v>11904</v>
      </c>
      <c r="B7577" s="78" t="s">
        <v>15617</v>
      </c>
      <c r="C7577" s="94">
        <v>43</v>
      </c>
    </row>
    <row r="7578" spans="1:3" x14ac:dyDescent="0.25">
      <c r="A7578" s="15" t="s">
        <v>11905</v>
      </c>
      <c r="B7578" s="15" t="s">
        <v>15618</v>
      </c>
      <c r="C7578" s="94">
        <v>43</v>
      </c>
    </row>
    <row r="7579" spans="1:3" x14ac:dyDescent="0.25">
      <c r="A7579" s="115" t="s">
        <v>11906</v>
      </c>
      <c r="B7579" s="115" t="s">
        <v>15619</v>
      </c>
      <c r="C7579" s="93">
        <v>43</v>
      </c>
    </row>
    <row r="7580" spans="1:3" ht="31.5" x14ac:dyDescent="0.25">
      <c r="A7580" s="162" t="s">
        <v>11907</v>
      </c>
      <c r="B7580" s="112" t="s">
        <v>11908</v>
      </c>
      <c r="C7580" s="93">
        <v>45</v>
      </c>
    </row>
    <row r="7581" spans="1:3" x14ac:dyDescent="0.25">
      <c r="A7581" s="115" t="s">
        <v>11909</v>
      </c>
      <c r="B7581" s="115" t="s">
        <v>11910</v>
      </c>
      <c r="C7581" s="95">
        <v>46</v>
      </c>
    </row>
    <row r="7582" spans="1:3" x14ac:dyDescent="0.25">
      <c r="A7582" s="115" t="s">
        <v>11911</v>
      </c>
      <c r="B7582" s="115" t="s">
        <v>11912</v>
      </c>
      <c r="C7582" s="96">
        <v>46</v>
      </c>
    </row>
    <row r="7583" spans="1:3" x14ac:dyDescent="0.25">
      <c r="A7583" s="115" t="s">
        <v>11913</v>
      </c>
      <c r="B7583" s="115" t="s">
        <v>15620</v>
      </c>
      <c r="C7583" s="97">
        <v>50</v>
      </c>
    </row>
    <row r="7584" spans="1:3" x14ac:dyDescent="0.25">
      <c r="A7584" s="115" t="s">
        <v>11914</v>
      </c>
      <c r="B7584" s="115" t="s">
        <v>11915</v>
      </c>
      <c r="C7584" s="94">
        <v>50</v>
      </c>
    </row>
    <row r="7585" spans="1:3" x14ac:dyDescent="0.25">
      <c r="A7585" s="115" t="s">
        <v>11916</v>
      </c>
      <c r="B7585" s="115" t="s">
        <v>15621</v>
      </c>
      <c r="C7585" s="94">
        <v>50</v>
      </c>
    </row>
    <row r="7586" spans="1:3" x14ac:dyDescent="0.25">
      <c r="A7586" s="115" t="s">
        <v>11917</v>
      </c>
      <c r="B7586" s="115" t="s">
        <v>15622</v>
      </c>
      <c r="C7586" s="98">
        <v>50</v>
      </c>
    </row>
    <row r="7587" spans="1:3" x14ac:dyDescent="0.25">
      <c r="A7587" s="115" t="s">
        <v>11918</v>
      </c>
      <c r="B7587" s="115" t="s">
        <v>11919</v>
      </c>
      <c r="C7587" s="99">
        <v>50</v>
      </c>
    </row>
    <row r="7588" spans="1:3" x14ac:dyDescent="0.25">
      <c r="A7588" s="115" t="s">
        <v>11920</v>
      </c>
      <c r="B7588" s="115" t="s">
        <v>11921</v>
      </c>
      <c r="C7588" s="99">
        <v>50</v>
      </c>
    </row>
    <row r="7589" spans="1:3" x14ac:dyDescent="0.25">
      <c r="A7589" s="115" t="s">
        <v>11922</v>
      </c>
      <c r="B7589" s="115" t="s">
        <v>11923</v>
      </c>
      <c r="C7589" s="99">
        <v>50</v>
      </c>
    </row>
    <row r="7590" spans="1:3" x14ac:dyDescent="0.25">
      <c r="A7590" s="115" t="s">
        <v>11924</v>
      </c>
      <c r="B7590" s="115" t="s">
        <v>11925</v>
      </c>
      <c r="C7590" s="99">
        <v>50</v>
      </c>
    </row>
    <row r="7591" spans="1:3" x14ac:dyDescent="0.25">
      <c r="A7591" s="115" t="s">
        <v>11926</v>
      </c>
      <c r="B7591" s="115" t="s">
        <v>15623</v>
      </c>
      <c r="C7591" s="99">
        <v>50</v>
      </c>
    </row>
    <row r="7592" spans="1:3" x14ac:dyDescent="0.25">
      <c r="A7592" s="115" t="s">
        <v>11927</v>
      </c>
      <c r="B7592" s="115" t="s">
        <v>11928</v>
      </c>
      <c r="C7592" s="99">
        <v>50</v>
      </c>
    </row>
    <row r="7593" spans="1:3" x14ac:dyDescent="0.25">
      <c r="A7593" s="163" t="s">
        <v>11929</v>
      </c>
      <c r="B7593" s="78" t="s">
        <v>15624</v>
      </c>
      <c r="C7593" s="94">
        <v>50</v>
      </c>
    </row>
    <row r="7594" spans="1:3" x14ac:dyDescent="0.25">
      <c r="A7594" s="15" t="s">
        <v>11930</v>
      </c>
      <c r="B7594" s="15" t="s">
        <v>15625</v>
      </c>
      <c r="C7594" s="94">
        <v>50</v>
      </c>
    </row>
    <row r="7595" spans="1:3" x14ac:dyDescent="0.25">
      <c r="A7595" s="15" t="s">
        <v>11931</v>
      </c>
      <c r="B7595" s="15" t="s">
        <v>15626</v>
      </c>
      <c r="C7595" s="94">
        <v>50</v>
      </c>
    </row>
    <row r="7596" spans="1:3" x14ac:dyDescent="0.25">
      <c r="A7596" s="115" t="s">
        <v>11932</v>
      </c>
      <c r="B7596" s="115" t="s">
        <v>15627</v>
      </c>
      <c r="C7596" s="98">
        <v>50</v>
      </c>
    </row>
    <row r="7597" spans="1:3" x14ac:dyDescent="0.25">
      <c r="A7597" s="115" t="s">
        <v>11933</v>
      </c>
      <c r="B7597" s="115" t="s">
        <v>11934</v>
      </c>
      <c r="C7597" s="96">
        <v>50</v>
      </c>
    </row>
    <row r="7598" spans="1:3" x14ac:dyDescent="0.25">
      <c r="A7598" s="115" t="s">
        <v>11935</v>
      </c>
      <c r="B7598" s="115" t="s">
        <v>11936</v>
      </c>
      <c r="C7598" s="96">
        <v>50</v>
      </c>
    </row>
    <row r="7599" spans="1:3" x14ac:dyDescent="0.25">
      <c r="A7599" s="115" t="s">
        <v>11937</v>
      </c>
      <c r="B7599" s="115" t="s">
        <v>15628</v>
      </c>
      <c r="C7599" s="96">
        <v>50</v>
      </c>
    </row>
    <row r="7600" spans="1:3" x14ac:dyDescent="0.25">
      <c r="A7600" s="115" t="s">
        <v>11938</v>
      </c>
      <c r="B7600" s="115" t="s">
        <v>15629</v>
      </c>
      <c r="C7600" s="96">
        <v>50</v>
      </c>
    </row>
    <row r="7601" spans="1:3" x14ac:dyDescent="0.25">
      <c r="A7601" s="115" t="s">
        <v>11939</v>
      </c>
      <c r="B7601" s="115" t="s">
        <v>15630</v>
      </c>
      <c r="C7601" s="96">
        <v>50</v>
      </c>
    </row>
    <row r="7602" spans="1:3" x14ac:dyDescent="0.25">
      <c r="A7602" s="115" t="s">
        <v>11940</v>
      </c>
      <c r="B7602" s="115" t="s">
        <v>15631</v>
      </c>
      <c r="C7602" s="96">
        <v>50</v>
      </c>
    </row>
    <row r="7603" spans="1:3" x14ac:dyDescent="0.25">
      <c r="A7603" s="115" t="s">
        <v>11941</v>
      </c>
      <c r="B7603" s="115" t="s">
        <v>11942</v>
      </c>
      <c r="C7603" s="96">
        <v>50</v>
      </c>
    </row>
    <row r="7604" spans="1:3" x14ac:dyDescent="0.25">
      <c r="A7604" s="115" t="s">
        <v>11943</v>
      </c>
      <c r="B7604" s="115" t="s">
        <v>11944</v>
      </c>
      <c r="C7604" s="96">
        <v>50</v>
      </c>
    </row>
    <row r="7605" spans="1:3" x14ac:dyDescent="0.25">
      <c r="A7605" s="115" t="s">
        <v>11945</v>
      </c>
      <c r="B7605" s="115" t="s">
        <v>15632</v>
      </c>
      <c r="C7605" s="96">
        <v>50</v>
      </c>
    </row>
    <row r="7606" spans="1:3" x14ac:dyDescent="0.25">
      <c r="A7606" s="115" t="s">
        <v>11946</v>
      </c>
      <c r="B7606" s="115" t="s">
        <v>15633</v>
      </c>
      <c r="C7606" s="96">
        <v>50</v>
      </c>
    </row>
    <row r="7607" spans="1:3" x14ac:dyDescent="0.25">
      <c r="A7607" s="115" t="s">
        <v>11947</v>
      </c>
      <c r="B7607" s="115" t="s">
        <v>11948</v>
      </c>
      <c r="C7607" s="99">
        <v>50</v>
      </c>
    </row>
    <row r="7608" spans="1:3" x14ac:dyDescent="0.25">
      <c r="A7608" s="115" t="s">
        <v>11949</v>
      </c>
      <c r="B7608" s="115" t="s">
        <v>15634</v>
      </c>
      <c r="C7608" s="99">
        <v>50</v>
      </c>
    </row>
    <row r="7609" spans="1:3" x14ac:dyDescent="0.25">
      <c r="A7609" s="115" t="s">
        <v>11950</v>
      </c>
      <c r="B7609" s="115" t="s">
        <v>11951</v>
      </c>
      <c r="C7609" s="99">
        <v>50</v>
      </c>
    </row>
    <row r="7610" spans="1:3" x14ac:dyDescent="0.25">
      <c r="A7610" s="115" t="s">
        <v>11952</v>
      </c>
      <c r="B7610" s="115" t="s">
        <v>15635</v>
      </c>
      <c r="C7610" s="98">
        <v>50</v>
      </c>
    </row>
    <row r="7611" spans="1:3" x14ac:dyDescent="0.25">
      <c r="A7611" s="115" t="s">
        <v>11953</v>
      </c>
      <c r="B7611" s="115" t="s">
        <v>15636</v>
      </c>
      <c r="C7611" s="98">
        <v>50</v>
      </c>
    </row>
    <row r="7612" spans="1:3" ht="31.5" x14ac:dyDescent="0.25">
      <c r="A7612" s="162" t="s">
        <v>11954</v>
      </c>
      <c r="B7612" s="112" t="s">
        <v>15637</v>
      </c>
      <c r="C7612" s="93">
        <v>50</v>
      </c>
    </row>
    <row r="7613" spans="1:3" x14ac:dyDescent="0.25">
      <c r="A7613" s="115" t="s">
        <v>11955</v>
      </c>
      <c r="B7613" s="115" t="s">
        <v>15638</v>
      </c>
      <c r="C7613" s="99">
        <v>50</v>
      </c>
    </row>
    <row r="7614" spans="1:3" x14ac:dyDescent="0.25">
      <c r="A7614" s="115" t="s">
        <v>11956</v>
      </c>
      <c r="B7614" s="115" t="s">
        <v>15639</v>
      </c>
      <c r="C7614" s="99">
        <v>50</v>
      </c>
    </row>
    <row r="7615" spans="1:3" x14ac:dyDescent="0.25">
      <c r="A7615" s="115" t="s">
        <v>11957</v>
      </c>
      <c r="B7615" s="115" t="s">
        <v>15640</v>
      </c>
      <c r="C7615" s="96">
        <v>50</v>
      </c>
    </row>
    <row r="7616" spans="1:3" x14ac:dyDescent="0.25">
      <c r="A7616" s="115" t="s">
        <v>11958</v>
      </c>
      <c r="B7616" s="115" t="s">
        <v>15641</v>
      </c>
      <c r="C7616" s="99">
        <v>50</v>
      </c>
    </row>
    <row r="7617" spans="1:3" x14ac:dyDescent="0.25">
      <c r="A7617" s="115" t="s">
        <v>11959</v>
      </c>
      <c r="B7617" s="115" t="s">
        <v>11960</v>
      </c>
      <c r="C7617" s="96">
        <v>50</v>
      </c>
    </row>
    <row r="7618" spans="1:3" x14ac:dyDescent="0.25">
      <c r="A7618" s="115" t="s">
        <v>11961</v>
      </c>
      <c r="B7618" s="115" t="s">
        <v>15642</v>
      </c>
      <c r="C7618" s="96">
        <v>50</v>
      </c>
    </row>
    <row r="7619" spans="1:3" x14ac:dyDescent="0.25">
      <c r="A7619" s="115" t="s">
        <v>11962</v>
      </c>
      <c r="B7619" s="115" t="s">
        <v>11963</v>
      </c>
      <c r="C7619" s="96">
        <v>50</v>
      </c>
    </row>
    <row r="7620" spans="1:3" x14ac:dyDescent="0.25">
      <c r="A7620" s="115" t="s">
        <v>11964</v>
      </c>
      <c r="B7620" s="115" t="s">
        <v>11965</v>
      </c>
      <c r="C7620" s="96">
        <v>50</v>
      </c>
    </row>
    <row r="7621" spans="1:3" x14ac:dyDescent="0.25">
      <c r="A7621" s="115" t="s">
        <v>11966</v>
      </c>
      <c r="B7621" s="115" t="s">
        <v>11967</v>
      </c>
      <c r="C7621" s="96">
        <v>50</v>
      </c>
    </row>
    <row r="7622" spans="1:3" x14ac:dyDescent="0.25">
      <c r="A7622" s="115" t="s">
        <v>11968</v>
      </c>
      <c r="B7622" s="115" t="s">
        <v>15643</v>
      </c>
      <c r="C7622" s="96">
        <v>50</v>
      </c>
    </row>
    <row r="7623" spans="1:3" x14ac:dyDescent="0.25">
      <c r="A7623" s="115" t="s">
        <v>11969</v>
      </c>
      <c r="B7623" s="115" t="s">
        <v>11970</v>
      </c>
      <c r="C7623" s="96">
        <v>50</v>
      </c>
    </row>
    <row r="7624" spans="1:3" x14ac:dyDescent="0.25">
      <c r="A7624" s="115" t="s">
        <v>11971</v>
      </c>
      <c r="B7624" s="115" t="s">
        <v>15644</v>
      </c>
      <c r="C7624" s="96">
        <v>50</v>
      </c>
    </row>
    <row r="7625" spans="1:3" x14ac:dyDescent="0.25">
      <c r="A7625" s="115" t="s">
        <v>11972</v>
      </c>
      <c r="B7625" s="115" t="s">
        <v>15645</v>
      </c>
      <c r="C7625" s="99">
        <v>50</v>
      </c>
    </row>
    <row r="7626" spans="1:3" x14ac:dyDescent="0.25">
      <c r="A7626" s="115" t="s">
        <v>11973</v>
      </c>
      <c r="B7626" s="115" t="s">
        <v>11974</v>
      </c>
      <c r="C7626" s="96">
        <v>50</v>
      </c>
    </row>
    <row r="7627" spans="1:3" x14ac:dyDescent="0.25">
      <c r="A7627" s="115" t="s">
        <v>11975</v>
      </c>
      <c r="B7627" s="115" t="s">
        <v>15646</v>
      </c>
      <c r="C7627" s="99">
        <v>50</v>
      </c>
    </row>
    <row r="7628" spans="1:3" x14ac:dyDescent="0.25">
      <c r="A7628" s="115" t="s">
        <v>11976</v>
      </c>
      <c r="B7628" s="115" t="s">
        <v>15647</v>
      </c>
      <c r="C7628" s="99">
        <v>50</v>
      </c>
    </row>
    <row r="7629" spans="1:3" x14ac:dyDescent="0.25">
      <c r="A7629" s="115" t="s">
        <v>11977</v>
      </c>
      <c r="B7629" s="115" t="s">
        <v>11978</v>
      </c>
      <c r="C7629" s="99">
        <v>50</v>
      </c>
    </row>
    <row r="7630" spans="1:3" x14ac:dyDescent="0.25">
      <c r="A7630" s="115" t="s">
        <v>11979</v>
      </c>
      <c r="B7630" s="115" t="s">
        <v>15648</v>
      </c>
      <c r="C7630" s="99">
        <v>50</v>
      </c>
    </row>
    <row r="7631" spans="1:3" x14ac:dyDescent="0.25">
      <c r="A7631" s="115" t="s">
        <v>11980</v>
      </c>
      <c r="B7631" s="115" t="s">
        <v>15649</v>
      </c>
      <c r="C7631" s="99">
        <v>50</v>
      </c>
    </row>
    <row r="7632" spans="1:3" x14ac:dyDescent="0.25">
      <c r="A7632" s="115" t="s">
        <v>11981</v>
      </c>
      <c r="B7632" s="115" t="s">
        <v>15650</v>
      </c>
      <c r="C7632" s="99">
        <v>50</v>
      </c>
    </row>
    <row r="7633" spans="1:3" x14ac:dyDescent="0.25">
      <c r="A7633" s="115" t="s">
        <v>11982</v>
      </c>
      <c r="B7633" s="115" t="s">
        <v>11983</v>
      </c>
      <c r="C7633" s="99">
        <v>50</v>
      </c>
    </row>
    <row r="7634" spans="1:3" x14ac:dyDescent="0.25">
      <c r="A7634" s="115" t="s">
        <v>11984</v>
      </c>
      <c r="B7634" s="115" t="s">
        <v>11985</v>
      </c>
      <c r="C7634" s="99">
        <v>50</v>
      </c>
    </row>
    <row r="7635" spans="1:3" x14ac:dyDescent="0.25">
      <c r="A7635" s="115" t="s">
        <v>11986</v>
      </c>
      <c r="B7635" s="115" t="s">
        <v>11987</v>
      </c>
      <c r="C7635" s="99">
        <v>50</v>
      </c>
    </row>
    <row r="7636" spans="1:3" x14ac:dyDescent="0.25">
      <c r="A7636" s="115" t="s">
        <v>11988</v>
      </c>
      <c r="B7636" s="115" t="s">
        <v>11989</v>
      </c>
      <c r="C7636" s="99">
        <v>50</v>
      </c>
    </row>
    <row r="7637" spans="1:3" x14ac:dyDescent="0.25">
      <c r="A7637" s="115" t="s">
        <v>11990</v>
      </c>
      <c r="B7637" s="115" t="s">
        <v>11991</v>
      </c>
      <c r="C7637" s="99">
        <v>50</v>
      </c>
    </row>
    <row r="7638" spans="1:3" x14ac:dyDescent="0.25">
      <c r="A7638" s="115" t="s">
        <v>11992</v>
      </c>
      <c r="B7638" s="115" t="s">
        <v>11993</v>
      </c>
      <c r="C7638" s="99">
        <v>50</v>
      </c>
    </row>
    <row r="7639" spans="1:3" x14ac:dyDescent="0.25">
      <c r="A7639" s="115" t="s">
        <v>11994</v>
      </c>
      <c r="B7639" s="115" t="s">
        <v>11995</v>
      </c>
      <c r="C7639" s="99">
        <v>50</v>
      </c>
    </row>
    <row r="7640" spans="1:3" x14ac:dyDescent="0.25">
      <c r="A7640" s="115" t="s">
        <v>11996</v>
      </c>
      <c r="B7640" s="115" t="s">
        <v>15651</v>
      </c>
      <c r="C7640" s="94">
        <v>50</v>
      </c>
    </row>
    <row r="7641" spans="1:3" x14ac:dyDescent="0.25">
      <c r="A7641" s="115" t="s">
        <v>11997</v>
      </c>
      <c r="B7641" s="115" t="s">
        <v>15652</v>
      </c>
      <c r="C7641" s="99">
        <v>50</v>
      </c>
    </row>
    <row r="7642" spans="1:3" x14ac:dyDescent="0.25">
      <c r="A7642" s="115" t="s">
        <v>11998</v>
      </c>
      <c r="B7642" s="115" t="s">
        <v>11999</v>
      </c>
      <c r="C7642" s="99">
        <v>50</v>
      </c>
    </row>
    <row r="7643" spans="1:3" x14ac:dyDescent="0.25">
      <c r="A7643" s="115" t="s">
        <v>12000</v>
      </c>
      <c r="B7643" s="115" t="s">
        <v>12001</v>
      </c>
      <c r="C7643" s="99">
        <v>50</v>
      </c>
    </row>
    <row r="7644" spans="1:3" x14ac:dyDescent="0.25">
      <c r="A7644" s="115" t="s">
        <v>12002</v>
      </c>
      <c r="B7644" s="115" t="s">
        <v>12003</v>
      </c>
      <c r="C7644" s="99">
        <v>50</v>
      </c>
    </row>
    <row r="7645" spans="1:3" x14ac:dyDescent="0.25">
      <c r="A7645" s="115" t="s">
        <v>12004</v>
      </c>
      <c r="B7645" s="115" t="s">
        <v>15653</v>
      </c>
      <c r="C7645" s="99">
        <v>50</v>
      </c>
    </row>
    <row r="7646" spans="1:3" x14ac:dyDescent="0.25">
      <c r="A7646" s="115" t="s">
        <v>12005</v>
      </c>
      <c r="B7646" s="115" t="s">
        <v>15654</v>
      </c>
      <c r="C7646" s="99">
        <v>50</v>
      </c>
    </row>
    <row r="7647" spans="1:3" x14ac:dyDescent="0.25">
      <c r="A7647" s="115" t="s">
        <v>12006</v>
      </c>
      <c r="B7647" s="115" t="s">
        <v>12007</v>
      </c>
      <c r="C7647" s="99">
        <v>50</v>
      </c>
    </row>
    <row r="7648" spans="1:3" x14ac:dyDescent="0.25">
      <c r="A7648" s="115" t="s">
        <v>12008</v>
      </c>
      <c r="B7648" s="115" t="s">
        <v>15655</v>
      </c>
      <c r="C7648" s="99">
        <v>50</v>
      </c>
    </row>
    <row r="7649" spans="1:3" x14ac:dyDescent="0.25">
      <c r="A7649" s="115" t="s">
        <v>12009</v>
      </c>
      <c r="B7649" s="115" t="s">
        <v>12010</v>
      </c>
      <c r="C7649" s="99">
        <v>50</v>
      </c>
    </row>
    <row r="7650" spans="1:3" x14ac:dyDescent="0.25">
      <c r="A7650" s="115" t="s">
        <v>12011</v>
      </c>
      <c r="B7650" s="115" t="s">
        <v>12012</v>
      </c>
      <c r="C7650" s="99">
        <v>50</v>
      </c>
    </row>
    <row r="7651" spans="1:3" x14ac:dyDescent="0.25">
      <c r="A7651" s="115" t="s">
        <v>12013</v>
      </c>
      <c r="B7651" s="115" t="s">
        <v>12014</v>
      </c>
      <c r="C7651" s="99">
        <v>50</v>
      </c>
    </row>
    <row r="7652" spans="1:3" x14ac:dyDescent="0.25">
      <c r="A7652" s="115" t="s">
        <v>12015</v>
      </c>
      <c r="B7652" s="115" t="s">
        <v>15656</v>
      </c>
      <c r="C7652" s="99">
        <v>50</v>
      </c>
    </row>
    <row r="7653" spans="1:3" x14ac:dyDescent="0.25">
      <c r="A7653" s="115" t="s">
        <v>12016</v>
      </c>
      <c r="B7653" s="115" t="s">
        <v>12017</v>
      </c>
      <c r="C7653" s="99">
        <v>50</v>
      </c>
    </row>
    <row r="7654" spans="1:3" x14ac:dyDescent="0.25">
      <c r="A7654" s="115" t="s">
        <v>12018</v>
      </c>
      <c r="B7654" s="115" t="s">
        <v>12019</v>
      </c>
      <c r="C7654" s="99">
        <v>50</v>
      </c>
    </row>
    <row r="7655" spans="1:3" x14ac:dyDescent="0.25">
      <c r="A7655" s="115" t="s">
        <v>12020</v>
      </c>
      <c r="B7655" s="115" t="s">
        <v>12021</v>
      </c>
      <c r="C7655" s="99">
        <v>50</v>
      </c>
    </row>
    <row r="7656" spans="1:3" x14ac:dyDescent="0.25">
      <c r="A7656" s="115" t="s">
        <v>12022</v>
      </c>
      <c r="B7656" s="115" t="s">
        <v>15657</v>
      </c>
      <c r="C7656" s="94">
        <v>50</v>
      </c>
    </row>
    <row r="7657" spans="1:3" x14ac:dyDescent="0.25">
      <c r="A7657" s="115" t="s">
        <v>12023</v>
      </c>
      <c r="B7657" s="115" t="s">
        <v>12024</v>
      </c>
      <c r="C7657" s="94">
        <v>50</v>
      </c>
    </row>
    <row r="7658" spans="1:3" x14ac:dyDescent="0.25">
      <c r="A7658" s="115" t="s">
        <v>12025</v>
      </c>
      <c r="B7658" s="115" t="s">
        <v>15658</v>
      </c>
      <c r="C7658" s="94">
        <v>50</v>
      </c>
    </row>
    <row r="7659" spans="1:3" x14ac:dyDescent="0.25">
      <c r="A7659" s="115" t="s">
        <v>12026</v>
      </c>
      <c r="B7659" s="115" t="s">
        <v>15659</v>
      </c>
      <c r="C7659" s="99">
        <v>50</v>
      </c>
    </row>
    <row r="7660" spans="1:3" x14ac:dyDescent="0.25">
      <c r="A7660" s="115" t="s">
        <v>12027</v>
      </c>
      <c r="B7660" s="115" t="s">
        <v>12028</v>
      </c>
      <c r="C7660" s="99">
        <v>50</v>
      </c>
    </row>
    <row r="7661" spans="1:3" x14ac:dyDescent="0.25">
      <c r="A7661" s="115" t="s">
        <v>12029</v>
      </c>
      <c r="B7661" s="115" t="s">
        <v>12030</v>
      </c>
      <c r="C7661" s="99">
        <v>50</v>
      </c>
    </row>
    <row r="7662" spans="1:3" x14ac:dyDescent="0.25">
      <c r="A7662" s="115" t="s">
        <v>12031</v>
      </c>
      <c r="B7662" s="115" t="s">
        <v>12032</v>
      </c>
      <c r="C7662" s="99">
        <v>50</v>
      </c>
    </row>
    <row r="7663" spans="1:3" x14ac:dyDescent="0.25">
      <c r="A7663" s="115" t="s">
        <v>12033</v>
      </c>
      <c r="B7663" s="115" t="s">
        <v>12034</v>
      </c>
      <c r="C7663" s="99">
        <v>50</v>
      </c>
    </row>
    <row r="7664" spans="1:3" x14ac:dyDescent="0.25">
      <c r="A7664" s="115" t="s">
        <v>12035</v>
      </c>
      <c r="B7664" s="115" t="s">
        <v>12036</v>
      </c>
      <c r="C7664" s="99">
        <v>50</v>
      </c>
    </row>
    <row r="7665" spans="1:3" x14ac:dyDescent="0.25">
      <c r="A7665" s="115" t="s">
        <v>12037</v>
      </c>
      <c r="B7665" s="115" t="s">
        <v>15660</v>
      </c>
      <c r="C7665" s="99">
        <v>50</v>
      </c>
    </row>
    <row r="7666" spans="1:3" x14ac:dyDescent="0.25">
      <c r="A7666" s="115" t="s">
        <v>12038</v>
      </c>
      <c r="B7666" s="115" t="s">
        <v>15661</v>
      </c>
      <c r="C7666" s="99">
        <v>50</v>
      </c>
    </row>
    <row r="7667" spans="1:3" x14ac:dyDescent="0.25">
      <c r="A7667" s="115" t="s">
        <v>12039</v>
      </c>
      <c r="B7667" s="115" t="s">
        <v>12040</v>
      </c>
      <c r="C7667" s="99">
        <v>50</v>
      </c>
    </row>
    <row r="7668" spans="1:3" x14ac:dyDescent="0.25">
      <c r="A7668" s="115" t="s">
        <v>12041</v>
      </c>
      <c r="B7668" s="115" t="s">
        <v>12042</v>
      </c>
      <c r="C7668" s="99">
        <v>50</v>
      </c>
    </row>
    <row r="7669" spans="1:3" x14ac:dyDescent="0.25">
      <c r="A7669" s="115" t="s">
        <v>12043</v>
      </c>
      <c r="B7669" s="115" t="s">
        <v>12044</v>
      </c>
      <c r="C7669" s="99">
        <v>50</v>
      </c>
    </row>
    <row r="7670" spans="1:3" x14ac:dyDescent="0.25">
      <c r="A7670" s="115" t="s">
        <v>12045</v>
      </c>
      <c r="B7670" s="115" t="s">
        <v>15662</v>
      </c>
      <c r="C7670" s="99">
        <v>50</v>
      </c>
    </row>
    <row r="7671" spans="1:3" x14ac:dyDescent="0.25">
      <c r="A7671" s="115" t="s">
        <v>12046</v>
      </c>
      <c r="B7671" s="115" t="s">
        <v>12047</v>
      </c>
      <c r="C7671" s="99">
        <v>50</v>
      </c>
    </row>
    <row r="7672" spans="1:3" x14ac:dyDescent="0.25">
      <c r="A7672" s="115" t="s">
        <v>12048</v>
      </c>
      <c r="B7672" s="115" t="s">
        <v>12049</v>
      </c>
      <c r="C7672" s="99">
        <v>50</v>
      </c>
    </row>
    <row r="7673" spans="1:3" x14ac:dyDescent="0.25">
      <c r="A7673" s="115" t="s">
        <v>12050</v>
      </c>
      <c r="B7673" s="115" t="s">
        <v>12051</v>
      </c>
      <c r="C7673" s="96">
        <v>50</v>
      </c>
    </row>
    <row r="7674" spans="1:3" x14ac:dyDescent="0.25">
      <c r="A7674" s="115" t="s">
        <v>12052</v>
      </c>
      <c r="B7674" s="115" t="s">
        <v>12053</v>
      </c>
      <c r="C7674" s="96">
        <v>50</v>
      </c>
    </row>
    <row r="7675" spans="1:3" x14ac:dyDescent="0.25">
      <c r="A7675" s="115" t="s">
        <v>12054</v>
      </c>
      <c r="B7675" s="115" t="s">
        <v>12055</v>
      </c>
      <c r="C7675" s="96">
        <v>50</v>
      </c>
    </row>
    <row r="7676" spans="1:3" x14ac:dyDescent="0.25">
      <c r="A7676" s="162" t="s">
        <v>12056</v>
      </c>
      <c r="B7676" s="112" t="s">
        <v>12057</v>
      </c>
      <c r="C7676" s="93">
        <v>50</v>
      </c>
    </row>
    <row r="7677" spans="1:3" x14ac:dyDescent="0.25">
      <c r="A7677" s="115" t="s">
        <v>12058</v>
      </c>
      <c r="B7677" s="115" t="s">
        <v>15663</v>
      </c>
      <c r="C7677" s="99">
        <v>50</v>
      </c>
    </row>
    <row r="7678" spans="1:3" x14ac:dyDescent="0.25">
      <c r="A7678" s="115" t="s">
        <v>12059</v>
      </c>
      <c r="B7678" s="115" t="s">
        <v>15664</v>
      </c>
      <c r="C7678" s="99">
        <v>50</v>
      </c>
    </row>
    <row r="7679" spans="1:3" x14ac:dyDescent="0.25">
      <c r="A7679" s="115" t="s">
        <v>12060</v>
      </c>
      <c r="B7679" s="115" t="s">
        <v>12061</v>
      </c>
      <c r="C7679" s="96">
        <v>50</v>
      </c>
    </row>
    <row r="7680" spans="1:3" x14ac:dyDescent="0.25">
      <c r="A7680" s="113" t="s">
        <v>12062</v>
      </c>
      <c r="B7680" s="115" t="s">
        <v>12063</v>
      </c>
      <c r="C7680" s="96">
        <v>50</v>
      </c>
    </row>
    <row r="7681" spans="1:3" x14ac:dyDescent="0.25">
      <c r="A7681" s="115" t="s">
        <v>12064</v>
      </c>
      <c r="B7681" s="115" t="s">
        <v>15665</v>
      </c>
      <c r="C7681" s="96">
        <v>50</v>
      </c>
    </row>
    <row r="7682" spans="1:3" x14ac:dyDescent="0.25">
      <c r="A7682" s="115" t="s">
        <v>12065</v>
      </c>
      <c r="B7682" s="115" t="s">
        <v>15666</v>
      </c>
      <c r="C7682" s="99">
        <v>50</v>
      </c>
    </row>
    <row r="7683" spans="1:3" x14ac:dyDescent="0.25">
      <c r="A7683" s="115" t="s">
        <v>12066</v>
      </c>
      <c r="B7683" s="115" t="s">
        <v>15667</v>
      </c>
      <c r="C7683" s="99">
        <v>50</v>
      </c>
    </row>
    <row r="7684" spans="1:3" x14ac:dyDescent="0.25">
      <c r="A7684" s="115" t="s">
        <v>12067</v>
      </c>
      <c r="B7684" s="115" t="s">
        <v>15668</v>
      </c>
      <c r="C7684" s="99">
        <v>50</v>
      </c>
    </row>
    <row r="7685" spans="1:3" x14ac:dyDescent="0.25">
      <c r="A7685" s="115" t="s">
        <v>12068</v>
      </c>
      <c r="B7685" s="115" t="s">
        <v>15669</v>
      </c>
      <c r="C7685" s="99">
        <v>50</v>
      </c>
    </row>
    <row r="7686" spans="1:3" x14ac:dyDescent="0.25">
      <c r="A7686" s="115" t="s">
        <v>12069</v>
      </c>
      <c r="B7686" s="115" t="s">
        <v>15670</v>
      </c>
      <c r="C7686" s="96">
        <v>50</v>
      </c>
    </row>
    <row r="7687" spans="1:3" x14ac:dyDescent="0.25">
      <c r="A7687" s="115" t="s">
        <v>12070</v>
      </c>
      <c r="B7687" s="115" t="s">
        <v>15671</v>
      </c>
      <c r="C7687" s="98">
        <v>50</v>
      </c>
    </row>
    <row r="7688" spans="1:3" x14ac:dyDescent="0.25">
      <c r="A7688" s="115" t="s">
        <v>12071</v>
      </c>
      <c r="B7688" s="115" t="s">
        <v>12072</v>
      </c>
      <c r="C7688" s="98">
        <v>50</v>
      </c>
    </row>
    <row r="7689" spans="1:3" x14ac:dyDescent="0.25">
      <c r="A7689" s="115" t="s">
        <v>12073</v>
      </c>
      <c r="B7689" s="115" t="s">
        <v>15672</v>
      </c>
      <c r="C7689" s="99">
        <v>50</v>
      </c>
    </row>
    <row r="7690" spans="1:3" ht="15.75" customHeight="1" x14ac:dyDescent="0.25">
      <c r="A7690" s="115" t="s">
        <v>12074</v>
      </c>
      <c r="B7690" s="115" t="s">
        <v>15673</v>
      </c>
      <c r="C7690" s="99">
        <v>50</v>
      </c>
    </row>
    <row r="7691" spans="1:3" ht="15.75" customHeight="1" x14ac:dyDescent="0.25">
      <c r="A7691" s="163" t="s">
        <v>12075</v>
      </c>
      <c r="B7691" s="78" t="s">
        <v>12076</v>
      </c>
      <c r="C7691" s="94">
        <v>50</v>
      </c>
    </row>
    <row r="7692" spans="1:3" x14ac:dyDescent="0.25">
      <c r="A7692" s="115" t="s">
        <v>12077</v>
      </c>
      <c r="B7692" s="115" t="s">
        <v>15674</v>
      </c>
      <c r="C7692" s="99">
        <v>50</v>
      </c>
    </row>
    <row r="7693" spans="1:3" x14ac:dyDescent="0.25">
      <c r="A7693" s="115" t="s">
        <v>12078</v>
      </c>
      <c r="B7693" s="115" t="s">
        <v>15675</v>
      </c>
      <c r="C7693" s="99">
        <v>50</v>
      </c>
    </row>
    <row r="7694" spans="1:3" x14ac:dyDescent="0.25">
      <c r="A7694" s="115" t="s">
        <v>12079</v>
      </c>
      <c r="B7694" s="115" t="s">
        <v>15676</v>
      </c>
      <c r="C7694" s="99">
        <v>50</v>
      </c>
    </row>
    <row r="7695" spans="1:3" x14ac:dyDescent="0.25">
      <c r="A7695" s="115" t="s">
        <v>12080</v>
      </c>
      <c r="B7695" s="115" t="s">
        <v>12081</v>
      </c>
      <c r="C7695" s="96">
        <v>50</v>
      </c>
    </row>
    <row r="7696" spans="1:3" x14ac:dyDescent="0.25">
      <c r="A7696" s="115" t="s">
        <v>12082</v>
      </c>
      <c r="B7696" s="115" t="s">
        <v>12083</v>
      </c>
      <c r="C7696" s="96">
        <v>50</v>
      </c>
    </row>
    <row r="7697" spans="1:3" x14ac:dyDescent="0.25">
      <c r="A7697" s="117" t="s">
        <v>12084</v>
      </c>
      <c r="B7697" s="115" t="s">
        <v>12085</v>
      </c>
      <c r="C7697" s="96">
        <v>50</v>
      </c>
    </row>
    <row r="7698" spans="1:3" x14ac:dyDescent="0.25">
      <c r="A7698" s="115" t="s">
        <v>12086</v>
      </c>
      <c r="B7698" s="115" t="s">
        <v>12087</v>
      </c>
      <c r="C7698" s="96">
        <v>50</v>
      </c>
    </row>
    <row r="7699" spans="1:3" x14ac:dyDescent="0.25">
      <c r="A7699" s="115" t="s">
        <v>12088</v>
      </c>
      <c r="B7699" s="115" t="s">
        <v>12089</v>
      </c>
      <c r="C7699" s="96">
        <v>50</v>
      </c>
    </row>
    <row r="7700" spans="1:3" x14ac:dyDescent="0.25">
      <c r="A7700" s="115" t="s">
        <v>12090</v>
      </c>
      <c r="B7700" s="115" t="s">
        <v>12091</v>
      </c>
      <c r="C7700" s="94">
        <v>50</v>
      </c>
    </row>
    <row r="7701" spans="1:3" x14ac:dyDescent="0.25">
      <c r="A7701" s="115" t="s">
        <v>12092</v>
      </c>
      <c r="B7701" s="115" t="s">
        <v>15677</v>
      </c>
      <c r="C7701" s="96">
        <v>50</v>
      </c>
    </row>
    <row r="7702" spans="1:3" x14ac:dyDescent="0.25">
      <c r="A7702" s="115" t="s">
        <v>12093</v>
      </c>
      <c r="B7702" s="115" t="s">
        <v>15678</v>
      </c>
      <c r="C7702" s="96">
        <v>50</v>
      </c>
    </row>
    <row r="7703" spans="1:3" x14ac:dyDescent="0.25">
      <c r="A7703" s="115" t="s">
        <v>12094</v>
      </c>
      <c r="B7703" s="115" t="s">
        <v>15679</v>
      </c>
      <c r="C7703" s="96">
        <v>50</v>
      </c>
    </row>
    <row r="7704" spans="1:3" x14ac:dyDescent="0.25">
      <c r="A7704" s="115" t="s">
        <v>12095</v>
      </c>
      <c r="B7704" s="115" t="s">
        <v>15680</v>
      </c>
      <c r="C7704" s="96">
        <v>50</v>
      </c>
    </row>
    <row r="7705" spans="1:3" x14ac:dyDescent="0.25">
      <c r="A7705" s="115" t="s">
        <v>12096</v>
      </c>
      <c r="B7705" s="115" t="s">
        <v>12097</v>
      </c>
      <c r="C7705" s="96">
        <v>50</v>
      </c>
    </row>
    <row r="7706" spans="1:3" x14ac:dyDescent="0.25">
      <c r="A7706" s="115" t="s">
        <v>12098</v>
      </c>
      <c r="B7706" s="115" t="s">
        <v>15681</v>
      </c>
      <c r="C7706" s="96">
        <v>50</v>
      </c>
    </row>
    <row r="7707" spans="1:3" x14ac:dyDescent="0.25">
      <c r="A7707" s="115" t="s">
        <v>12099</v>
      </c>
      <c r="B7707" s="115" t="s">
        <v>15678</v>
      </c>
      <c r="C7707" s="96">
        <v>50</v>
      </c>
    </row>
    <row r="7708" spans="1:3" x14ac:dyDescent="0.25">
      <c r="A7708" s="115" t="s">
        <v>12100</v>
      </c>
      <c r="B7708" s="115" t="s">
        <v>15682</v>
      </c>
      <c r="C7708" s="96">
        <v>50</v>
      </c>
    </row>
    <row r="7709" spans="1:3" x14ac:dyDescent="0.25">
      <c r="A7709" s="115" t="s">
        <v>12101</v>
      </c>
      <c r="B7709" s="115" t="s">
        <v>15683</v>
      </c>
      <c r="C7709" s="96">
        <v>50</v>
      </c>
    </row>
    <row r="7710" spans="1:3" x14ac:dyDescent="0.25">
      <c r="A7710" s="115" t="s">
        <v>12102</v>
      </c>
      <c r="B7710" s="115" t="s">
        <v>12103</v>
      </c>
      <c r="C7710" s="96">
        <v>50</v>
      </c>
    </row>
    <row r="7711" spans="1:3" x14ac:dyDescent="0.25">
      <c r="A7711" s="162" t="s">
        <v>12104</v>
      </c>
      <c r="B7711" s="112" t="s">
        <v>12105</v>
      </c>
      <c r="C7711" s="93">
        <v>53</v>
      </c>
    </row>
    <row r="7712" spans="1:3" x14ac:dyDescent="0.25">
      <c r="A7712" s="162" t="s">
        <v>12106</v>
      </c>
      <c r="B7712" s="112" t="s">
        <v>12107</v>
      </c>
      <c r="C7712" s="93">
        <v>53</v>
      </c>
    </row>
    <row r="7713" spans="1:3" x14ac:dyDescent="0.25">
      <c r="A7713" s="162" t="s">
        <v>12108</v>
      </c>
      <c r="B7713" s="112" t="s">
        <v>12109</v>
      </c>
      <c r="C7713" s="93">
        <v>53</v>
      </c>
    </row>
    <row r="7714" spans="1:3" x14ac:dyDescent="0.25">
      <c r="A7714" s="162" t="s">
        <v>12110</v>
      </c>
      <c r="B7714" s="112" t="s">
        <v>12111</v>
      </c>
      <c r="C7714" s="93">
        <v>53</v>
      </c>
    </row>
    <row r="7715" spans="1:3" x14ac:dyDescent="0.25">
      <c r="A7715" s="163" t="s">
        <v>12112</v>
      </c>
      <c r="B7715" s="78" t="s">
        <v>12113</v>
      </c>
      <c r="C7715" s="94">
        <v>53</v>
      </c>
    </row>
    <row r="7716" spans="1:3" x14ac:dyDescent="0.25">
      <c r="A7716" s="115" t="s">
        <v>12114</v>
      </c>
      <c r="B7716" s="115" t="s">
        <v>15684</v>
      </c>
      <c r="C7716" s="97">
        <v>56</v>
      </c>
    </row>
    <row r="7717" spans="1:3" x14ac:dyDescent="0.25">
      <c r="A7717" s="115" t="s">
        <v>12115</v>
      </c>
      <c r="B7717" s="115" t="s">
        <v>12116</v>
      </c>
      <c r="C7717" s="99">
        <v>56</v>
      </c>
    </row>
    <row r="7718" spans="1:3" x14ac:dyDescent="0.25">
      <c r="A7718" s="115" t="s">
        <v>12117</v>
      </c>
      <c r="B7718" s="115" t="s">
        <v>15685</v>
      </c>
      <c r="C7718" s="100">
        <v>56</v>
      </c>
    </row>
    <row r="7719" spans="1:3" x14ac:dyDescent="0.25">
      <c r="A7719" s="115" t="s">
        <v>12118</v>
      </c>
      <c r="B7719" s="115" t="s">
        <v>15686</v>
      </c>
      <c r="C7719" s="100">
        <v>56</v>
      </c>
    </row>
    <row r="7720" spans="1:3" x14ac:dyDescent="0.25">
      <c r="A7720" s="162" t="s">
        <v>12119</v>
      </c>
      <c r="B7720" s="112" t="s">
        <v>12120</v>
      </c>
      <c r="C7720" s="93">
        <v>58</v>
      </c>
    </row>
    <row r="7721" spans="1:3" x14ac:dyDescent="0.25">
      <c r="A7721" s="163" t="s">
        <v>12121</v>
      </c>
      <c r="B7721" s="78" t="s">
        <v>12122</v>
      </c>
      <c r="C7721" s="94">
        <v>58</v>
      </c>
    </row>
    <row r="7722" spans="1:3" ht="31.5" x14ac:dyDescent="0.25">
      <c r="A7722" s="115" t="s">
        <v>12123</v>
      </c>
      <c r="B7722" s="115" t="s">
        <v>15687</v>
      </c>
      <c r="C7722" s="93">
        <v>58</v>
      </c>
    </row>
    <row r="7723" spans="1:3" x14ac:dyDescent="0.25">
      <c r="A7723" s="115" t="s">
        <v>12124</v>
      </c>
      <c r="B7723" s="115" t="s">
        <v>15688</v>
      </c>
      <c r="C7723" s="95">
        <v>58</v>
      </c>
    </row>
    <row r="7724" spans="1:3" x14ac:dyDescent="0.25">
      <c r="A7724" s="162" t="s">
        <v>12125</v>
      </c>
      <c r="B7724" s="112" t="s">
        <v>12126</v>
      </c>
      <c r="C7724" s="93">
        <v>58</v>
      </c>
    </row>
    <row r="7725" spans="1:3" x14ac:dyDescent="0.25">
      <c r="A7725" s="115" t="s">
        <v>12127</v>
      </c>
      <c r="B7725" s="115" t="s">
        <v>12128</v>
      </c>
      <c r="C7725" s="99">
        <v>60</v>
      </c>
    </row>
    <row r="7726" spans="1:3" x14ac:dyDescent="0.25">
      <c r="A7726" s="115" t="s">
        <v>12129</v>
      </c>
      <c r="B7726" s="115" t="s">
        <v>12130</v>
      </c>
      <c r="C7726" s="96">
        <v>60</v>
      </c>
    </row>
    <row r="7727" spans="1:3" x14ac:dyDescent="0.25">
      <c r="A7727" s="163" t="s">
        <v>12131</v>
      </c>
      <c r="B7727" s="78" t="s">
        <v>12132</v>
      </c>
      <c r="C7727" s="94">
        <v>61</v>
      </c>
    </row>
    <row r="7728" spans="1:3" ht="31.5" x14ac:dyDescent="0.25">
      <c r="A7728" s="163" t="s">
        <v>12133</v>
      </c>
      <c r="B7728" s="78" t="s">
        <v>15689</v>
      </c>
      <c r="C7728" s="101">
        <v>62</v>
      </c>
    </row>
    <row r="7729" spans="1:3" x14ac:dyDescent="0.25">
      <c r="A7729" s="115" t="s">
        <v>12134</v>
      </c>
      <c r="B7729" s="115" t="s">
        <v>15690</v>
      </c>
      <c r="C7729" s="99">
        <v>62</v>
      </c>
    </row>
    <row r="7730" spans="1:3" x14ac:dyDescent="0.25">
      <c r="A7730" s="115" t="s">
        <v>12135</v>
      </c>
      <c r="B7730" s="115" t="s">
        <v>15691</v>
      </c>
      <c r="C7730" s="99">
        <v>62</v>
      </c>
    </row>
    <row r="7731" spans="1:3" x14ac:dyDescent="0.25">
      <c r="A7731" s="115" t="s">
        <v>12136</v>
      </c>
      <c r="B7731" s="115" t="s">
        <v>15692</v>
      </c>
      <c r="C7731" s="99">
        <v>62</v>
      </c>
    </row>
    <row r="7732" spans="1:3" x14ac:dyDescent="0.25">
      <c r="A7732" s="115" t="s">
        <v>12137</v>
      </c>
      <c r="B7732" s="115" t="s">
        <v>12138</v>
      </c>
      <c r="C7732" s="99">
        <v>62</v>
      </c>
    </row>
    <row r="7733" spans="1:3" ht="31.5" x14ac:dyDescent="0.25">
      <c r="A7733" s="162" t="s">
        <v>12139</v>
      </c>
      <c r="B7733" s="112" t="s">
        <v>12140</v>
      </c>
      <c r="C7733" s="93">
        <v>63</v>
      </c>
    </row>
    <row r="7734" spans="1:3" x14ac:dyDescent="0.25">
      <c r="A7734" s="162" t="s">
        <v>12141</v>
      </c>
      <c r="B7734" s="112" t="s">
        <v>12142</v>
      </c>
      <c r="C7734" s="93">
        <v>64</v>
      </c>
    </row>
    <row r="7735" spans="1:3" x14ac:dyDescent="0.25">
      <c r="A7735" s="162" t="s">
        <v>12143</v>
      </c>
      <c r="B7735" s="112" t="s">
        <v>12144</v>
      </c>
      <c r="C7735" s="93">
        <v>64</v>
      </c>
    </row>
    <row r="7736" spans="1:3" x14ac:dyDescent="0.25">
      <c r="A7736" s="162" t="s">
        <v>12145</v>
      </c>
      <c r="B7736" s="112" t="s">
        <v>12146</v>
      </c>
      <c r="C7736" s="93">
        <v>64</v>
      </c>
    </row>
    <row r="7737" spans="1:3" x14ac:dyDescent="0.25">
      <c r="A7737" s="162" t="s">
        <v>12147</v>
      </c>
      <c r="B7737" s="112" t="s">
        <v>12148</v>
      </c>
      <c r="C7737" s="93">
        <v>64</v>
      </c>
    </row>
    <row r="7738" spans="1:3" ht="31.5" x14ac:dyDescent="0.25">
      <c r="A7738" s="162" t="s">
        <v>12149</v>
      </c>
      <c r="B7738" s="112" t="s">
        <v>12150</v>
      </c>
      <c r="C7738" s="93">
        <v>66</v>
      </c>
    </row>
    <row r="7739" spans="1:3" ht="31.5" x14ac:dyDescent="0.25">
      <c r="A7739" s="162" t="s">
        <v>12151</v>
      </c>
      <c r="B7739" s="112" t="s">
        <v>12152</v>
      </c>
      <c r="C7739" s="93">
        <v>66</v>
      </c>
    </row>
    <row r="7740" spans="1:3" x14ac:dyDescent="0.25">
      <c r="A7740" s="162" t="s">
        <v>12153</v>
      </c>
      <c r="B7740" s="112" t="s">
        <v>12154</v>
      </c>
      <c r="C7740" s="93">
        <v>67</v>
      </c>
    </row>
    <row r="7741" spans="1:3" x14ac:dyDescent="0.25">
      <c r="A7741" s="115" t="s">
        <v>12155</v>
      </c>
      <c r="B7741" s="115" t="s">
        <v>15693</v>
      </c>
      <c r="C7741" s="95">
        <v>67</v>
      </c>
    </row>
    <row r="7742" spans="1:3" x14ac:dyDescent="0.25">
      <c r="A7742" s="115" t="s">
        <v>12156</v>
      </c>
      <c r="B7742" s="115" t="s">
        <v>15694</v>
      </c>
      <c r="C7742" s="97">
        <v>67</v>
      </c>
    </row>
    <row r="7743" spans="1:3" x14ac:dyDescent="0.25">
      <c r="A7743" s="115" t="s">
        <v>12157</v>
      </c>
      <c r="B7743" s="115" t="s">
        <v>15695</v>
      </c>
      <c r="C7743" s="99">
        <v>67</v>
      </c>
    </row>
    <row r="7744" spans="1:3" x14ac:dyDescent="0.25">
      <c r="A7744" s="115" t="s">
        <v>12158</v>
      </c>
      <c r="B7744" s="115" t="s">
        <v>12159</v>
      </c>
      <c r="C7744" s="99">
        <v>67</v>
      </c>
    </row>
    <row r="7745" spans="1:3" x14ac:dyDescent="0.25">
      <c r="A7745" s="115" t="s">
        <v>12160</v>
      </c>
      <c r="B7745" s="115" t="s">
        <v>15696</v>
      </c>
      <c r="C7745" s="99">
        <v>75</v>
      </c>
    </row>
    <row r="7746" spans="1:3" x14ac:dyDescent="0.25">
      <c r="A7746" s="115" t="s">
        <v>12161</v>
      </c>
      <c r="B7746" s="115" t="s">
        <v>15697</v>
      </c>
      <c r="C7746" s="99">
        <v>75</v>
      </c>
    </row>
    <row r="7747" spans="1:3" x14ac:dyDescent="0.25">
      <c r="A7747" s="115" t="s">
        <v>12162</v>
      </c>
      <c r="B7747" s="115" t="s">
        <v>15698</v>
      </c>
      <c r="C7747" s="99">
        <v>75</v>
      </c>
    </row>
    <row r="7748" spans="1:3" x14ac:dyDescent="0.25">
      <c r="A7748" s="162" t="s">
        <v>12163</v>
      </c>
      <c r="B7748" s="112" t="s">
        <v>12164</v>
      </c>
      <c r="C7748" s="93">
        <v>78</v>
      </c>
    </row>
    <row r="7749" spans="1:3" x14ac:dyDescent="0.25">
      <c r="A7749" s="163" t="s">
        <v>12165</v>
      </c>
      <c r="B7749" s="78" t="s">
        <v>12166</v>
      </c>
      <c r="C7749" s="94">
        <v>78</v>
      </c>
    </row>
    <row r="7750" spans="1:3" x14ac:dyDescent="0.25">
      <c r="A7750" s="165" t="s">
        <v>12167</v>
      </c>
      <c r="B7750" s="115" t="s">
        <v>12168</v>
      </c>
      <c r="C7750" s="96">
        <v>79</v>
      </c>
    </row>
    <row r="7751" spans="1:3" x14ac:dyDescent="0.25">
      <c r="A7751" s="162" t="s">
        <v>12169</v>
      </c>
      <c r="B7751" s="112" t="s">
        <v>12170</v>
      </c>
      <c r="C7751" s="93">
        <v>80</v>
      </c>
    </row>
    <row r="7752" spans="1:3" x14ac:dyDescent="0.25">
      <c r="A7752" s="163" t="s">
        <v>12171</v>
      </c>
      <c r="B7752" s="78" t="s">
        <v>12172</v>
      </c>
      <c r="C7752" s="94">
        <v>84</v>
      </c>
    </row>
    <row r="7753" spans="1:3" x14ac:dyDescent="0.25">
      <c r="A7753" s="162" t="s">
        <v>12173</v>
      </c>
      <c r="B7753" s="112" t="s">
        <v>12174</v>
      </c>
      <c r="C7753" s="93">
        <v>85</v>
      </c>
    </row>
    <row r="7754" spans="1:3" x14ac:dyDescent="0.25">
      <c r="A7754" s="163" t="s">
        <v>12175</v>
      </c>
      <c r="B7754" s="78" t="s">
        <v>12176</v>
      </c>
      <c r="C7754" s="94">
        <v>88</v>
      </c>
    </row>
    <row r="7755" spans="1:3" x14ac:dyDescent="0.25">
      <c r="A7755" s="162" t="s">
        <v>12177</v>
      </c>
      <c r="B7755" s="112" t="s">
        <v>12178</v>
      </c>
      <c r="C7755" s="93">
        <v>89</v>
      </c>
    </row>
    <row r="7756" spans="1:3" x14ac:dyDescent="0.25">
      <c r="A7756" s="162" t="s">
        <v>12179</v>
      </c>
      <c r="B7756" s="112" t="s">
        <v>12180</v>
      </c>
      <c r="C7756" s="93">
        <v>89</v>
      </c>
    </row>
    <row r="7757" spans="1:3" x14ac:dyDescent="0.25">
      <c r="A7757" s="162" t="s">
        <v>12181</v>
      </c>
      <c r="B7757" s="112" t="s">
        <v>12182</v>
      </c>
      <c r="C7757" s="93">
        <v>90</v>
      </c>
    </row>
    <row r="7758" spans="1:3" x14ac:dyDescent="0.25">
      <c r="A7758" s="163" t="s">
        <v>12183</v>
      </c>
      <c r="B7758" s="78" t="s">
        <v>12184</v>
      </c>
      <c r="C7758" s="94">
        <v>92</v>
      </c>
    </row>
    <row r="7759" spans="1:3" x14ac:dyDescent="0.25">
      <c r="A7759" s="163" t="s">
        <v>12185</v>
      </c>
      <c r="B7759" s="78" t="s">
        <v>12186</v>
      </c>
      <c r="C7759" s="94">
        <v>97</v>
      </c>
    </row>
    <row r="7760" spans="1:3" x14ac:dyDescent="0.25">
      <c r="A7760" s="162" t="s">
        <v>12187</v>
      </c>
      <c r="B7760" s="112" t="s">
        <v>12188</v>
      </c>
      <c r="C7760" s="93">
        <v>97</v>
      </c>
    </row>
    <row r="7761" spans="1:3" x14ac:dyDescent="0.25">
      <c r="A7761" s="163" t="s">
        <v>12189</v>
      </c>
      <c r="B7761" s="78" t="s">
        <v>12190</v>
      </c>
      <c r="C7761" s="94">
        <v>99</v>
      </c>
    </row>
    <row r="7762" spans="1:3" x14ac:dyDescent="0.25">
      <c r="A7762" s="163" t="s">
        <v>12191</v>
      </c>
      <c r="B7762" s="78" t="s">
        <v>12192</v>
      </c>
      <c r="C7762" s="94">
        <v>99</v>
      </c>
    </row>
    <row r="7763" spans="1:3" ht="31.5" x14ac:dyDescent="0.25">
      <c r="A7763" s="162" t="s">
        <v>12193</v>
      </c>
      <c r="B7763" s="112" t="s">
        <v>12194</v>
      </c>
      <c r="C7763" s="93">
        <v>107</v>
      </c>
    </row>
    <row r="7764" spans="1:3" ht="31.5" x14ac:dyDescent="0.25">
      <c r="A7764" s="162" t="s">
        <v>12195</v>
      </c>
      <c r="B7764" s="112" t="s">
        <v>12196</v>
      </c>
      <c r="C7764" s="93">
        <v>107</v>
      </c>
    </row>
    <row r="7765" spans="1:3" x14ac:dyDescent="0.25">
      <c r="A7765" s="162" t="s">
        <v>12197</v>
      </c>
      <c r="B7765" s="112" t="s">
        <v>12198</v>
      </c>
      <c r="C7765" s="93">
        <v>109</v>
      </c>
    </row>
    <row r="7766" spans="1:3" x14ac:dyDescent="0.25">
      <c r="A7766" s="162" t="s">
        <v>12199</v>
      </c>
      <c r="B7766" s="112" t="s">
        <v>12200</v>
      </c>
      <c r="C7766" s="93">
        <v>110</v>
      </c>
    </row>
    <row r="7767" spans="1:3" x14ac:dyDescent="0.25">
      <c r="A7767" s="163" t="s">
        <v>12201</v>
      </c>
      <c r="B7767" s="78" t="s">
        <v>12202</v>
      </c>
      <c r="C7767" s="94">
        <v>110</v>
      </c>
    </row>
    <row r="7768" spans="1:3" ht="31.5" x14ac:dyDescent="0.25">
      <c r="A7768" s="162" t="s">
        <v>12203</v>
      </c>
      <c r="B7768" s="112" t="s">
        <v>12204</v>
      </c>
      <c r="C7768" s="93">
        <v>116</v>
      </c>
    </row>
    <row r="7769" spans="1:3" x14ac:dyDescent="0.25">
      <c r="A7769" s="162" t="s">
        <v>12205</v>
      </c>
      <c r="B7769" s="112" t="s">
        <v>12206</v>
      </c>
      <c r="C7769" s="93">
        <v>116</v>
      </c>
    </row>
    <row r="7770" spans="1:3" x14ac:dyDescent="0.25">
      <c r="A7770" s="162" t="s">
        <v>12207</v>
      </c>
      <c r="B7770" s="112" t="s">
        <v>12208</v>
      </c>
      <c r="C7770" s="93">
        <v>116</v>
      </c>
    </row>
    <row r="7771" spans="1:3" x14ac:dyDescent="0.25">
      <c r="A7771" s="163" t="s">
        <v>12209</v>
      </c>
      <c r="B7771" s="78" t="s">
        <v>12210</v>
      </c>
      <c r="C7771" s="94">
        <v>118</v>
      </c>
    </row>
    <row r="7772" spans="1:3" x14ac:dyDescent="0.25">
      <c r="A7772" s="162" t="s">
        <v>12211</v>
      </c>
      <c r="B7772" s="112" t="s">
        <v>12212</v>
      </c>
      <c r="C7772" s="93">
        <v>129</v>
      </c>
    </row>
    <row r="7773" spans="1:3" x14ac:dyDescent="0.25">
      <c r="A7773" s="163" t="s">
        <v>12213</v>
      </c>
      <c r="B7773" s="78" t="s">
        <v>15699</v>
      </c>
      <c r="C7773" s="94">
        <v>130</v>
      </c>
    </row>
    <row r="7774" spans="1:3" x14ac:dyDescent="0.25">
      <c r="A7774" s="163" t="s">
        <v>12214</v>
      </c>
      <c r="B7774" s="78" t="s">
        <v>12215</v>
      </c>
      <c r="C7774" s="94">
        <v>130</v>
      </c>
    </row>
    <row r="7775" spans="1:3" x14ac:dyDescent="0.25">
      <c r="A7775" s="163" t="s">
        <v>12214</v>
      </c>
      <c r="B7775" s="78" t="s">
        <v>12215</v>
      </c>
      <c r="C7775" s="94">
        <v>130</v>
      </c>
    </row>
    <row r="7776" spans="1:3" x14ac:dyDescent="0.25">
      <c r="A7776" s="163" t="s">
        <v>12214</v>
      </c>
      <c r="B7776" s="78" t="s">
        <v>12216</v>
      </c>
      <c r="C7776" s="94">
        <v>130</v>
      </c>
    </row>
    <row r="7777" spans="1:3" x14ac:dyDescent="0.25">
      <c r="A7777" s="163" t="s">
        <v>12214</v>
      </c>
      <c r="B7777" s="78" t="s">
        <v>15700</v>
      </c>
      <c r="C7777" s="94">
        <v>130</v>
      </c>
    </row>
    <row r="7778" spans="1:3" ht="31.5" x14ac:dyDescent="0.25">
      <c r="A7778" s="163" t="s">
        <v>12217</v>
      </c>
      <c r="B7778" s="114" t="s">
        <v>15701</v>
      </c>
      <c r="C7778" s="94">
        <v>130</v>
      </c>
    </row>
    <row r="7779" spans="1:3" ht="31.5" x14ac:dyDescent="0.25">
      <c r="A7779" s="163" t="s">
        <v>12218</v>
      </c>
      <c r="B7779" s="78" t="s">
        <v>15702</v>
      </c>
      <c r="C7779" s="94">
        <v>135</v>
      </c>
    </row>
    <row r="7780" spans="1:3" ht="31.5" x14ac:dyDescent="0.25">
      <c r="A7780" s="163" t="s">
        <v>12219</v>
      </c>
      <c r="B7780" s="78" t="s">
        <v>15703</v>
      </c>
      <c r="C7780" s="94">
        <v>135</v>
      </c>
    </row>
    <row r="7781" spans="1:3" x14ac:dyDescent="0.25">
      <c r="A7781" s="163" t="s">
        <v>12220</v>
      </c>
      <c r="B7781" s="78" t="s">
        <v>12221</v>
      </c>
      <c r="C7781" s="94">
        <v>140</v>
      </c>
    </row>
    <row r="7782" spans="1:3" ht="31.5" x14ac:dyDescent="0.25">
      <c r="A7782" s="163" t="s">
        <v>12222</v>
      </c>
      <c r="B7782" s="78" t="s">
        <v>15704</v>
      </c>
      <c r="C7782" s="101">
        <v>140</v>
      </c>
    </row>
    <row r="7783" spans="1:3" x14ac:dyDescent="0.25">
      <c r="A7783" s="162" t="s">
        <v>12223</v>
      </c>
      <c r="B7783" s="112" t="s">
        <v>12224</v>
      </c>
      <c r="C7783" s="93">
        <v>143</v>
      </c>
    </row>
    <row r="7784" spans="1:3" x14ac:dyDescent="0.25">
      <c r="A7784" s="163" t="s">
        <v>12225</v>
      </c>
      <c r="B7784" s="78" t="s">
        <v>12226</v>
      </c>
      <c r="C7784" s="94">
        <v>143</v>
      </c>
    </row>
    <row r="7785" spans="1:3" x14ac:dyDescent="0.25">
      <c r="A7785" s="163" t="s">
        <v>12227</v>
      </c>
      <c r="B7785" s="78" t="s">
        <v>12228</v>
      </c>
      <c r="C7785" s="94">
        <v>147</v>
      </c>
    </row>
    <row r="7786" spans="1:3" x14ac:dyDescent="0.25">
      <c r="A7786" s="163" t="s">
        <v>12229</v>
      </c>
      <c r="B7786" s="78" t="s">
        <v>12230</v>
      </c>
      <c r="C7786" s="94">
        <v>147</v>
      </c>
    </row>
    <row r="7787" spans="1:3" x14ac:dyDescent="0.25">
      <c r="A7787" s="162" t="s">
        <v>12231</v>
      </c>
      <c r="B7787" s="112" t="s">
        <v>12232</v>
      </c>
      <c r="C7787" s="93">
        <v>147</v>
      </c>
    </row>
    <row r="7788" spans="1:3" x14ac:dyDescent="0.25">
      <c r="A7788" s="163" t="s">
        <v>12233</v>
      </c>
      <c r="B7788" s="78" t="s">
        <v>12234</v>
      </c>
      <c r="C7788" s="94">
        <v>151</v>
      </c>
    </row>
    <row r="7789" spans="1:3" x14ac:dyDescent="0.25">
      <c r="A7789" s="163" t="s">
        <v>12235</v>
      </c>
      <c r="B7789" s="78" t="s">
        <v>15705</v>
      </c>
      <c r="C7789" s="94">
        <v>156</v>
      </c>
    </row>
    <row r="7790" spans="1:3" x14ac:dyDescent="0.25">
      <c r="A7790" s="162" t="s">
        <v>12236</v>
      </c>
      <c r="B7790" s="112" t="s">
        <v>12237</v>
      </c>
      <c r="C7790" s="93">
        <v>157</v>
      </c>
    </row>
    <row r="7791" spans="1:3" x14ac:dyDescent="0.25">
      <c r="A7791" s="162" t="s">
        <v>12238</v>
      </c>
      <c r="B7791" s="112" t="s">
        <v>12239</v>
      </c>
      <c r="C7791" s="93">
        <v>157</v>
      </c>
    </row>
    <row r="7792" spans="1:3" x14ac:dyDescent="0.25">
      <c r="A7792" s="162" t="s">
        <v>12240</v>
      </c>
      <c r="B7792" s="112" t="s">
        <v>12241</v>
      </c>
      <c r="C7792" s="93">
        <v>161</v>
      </c>
    </row>
    <row r="7793" spans="1:3" x14ac:dyDescent="0.25">
      <c r="A7793" s="162" t="s">
        <v>12242</v>
      </c>
      <c r="B7793" s="112" t="s">
        <v>12243</v>
      </c>
      <c r="C7793" s="93">
        <v>161</v>
      </c>
    </row>
    <row r="7794" spans="1:3" x14ac:dyDescent="0.25">
      <c r="A7794" s="162" t="s">
        <v>12244</v>
      </c>
      <c r="B7794" s="112" t="s">
        <v>12245</v>
      </c>
      <c r="C7794" s="93">
        <v>161</v>
      </c>
    </row>
    <row r="7795" spans="1:3" x14ac:dyDescent="0.25">
      <c r="A7795" s="163" t="s">
        <v>12246</v>
      </c>
      <c r="B7795" s="78" t="s">
        <v>12247</v>
      </c>
      <c r="C7795" s="94">
        <v>166</v>
      </c>
    </row>
    <row r="7796" spans="1:3" x14ac:dyDescent="0.25">
      <c r="A7796" s="162" t="s">
        <v>12248</v>
      </c>
      <c r="B7796" s="112" t="s">
        <v>12249</v>
      </c>
      <c r="C7796" s="93">
        <v>167</v>
      </c>
    </row>
    <row r="7797" spans="1:3" x14ac:dyDescent="0.25">
      <c r="A7797" s="163" t="s">
        <v>12250</v>
      </c>
      <c r="B7797" s="78" t="s">
        <v>12251</v>
      </c>
      <c r="C7797" s="94">
        <v>167</v>
      </c>
    </row>
    <row r="7798" spans="1:3" ht="31.5" x14ac:dyDescent="0.25">
      <c r="A7798" s="163" t="s">
        <v>12252</v>
      </c>
      <c r="B7798" s="114" t="s">
        <v>15706</v>
      </c>
      <c r="C7798" s="94">
        <v>171</v>
      </c>
    </row>
    <row r="7799" spans="1:3" x14ac:dyDescent="0.25">
      <c r="A7799" s="162" t="s">
        <v>12253</v>
      </c>
      <c r="B7799" s="112" t="s">
        <v>12254</v>
      </c>
      <c r="C7799" s="93">
        <v>172</v>
      </c>
    </row>
    <row r="7800" spans="1:3" ht="15.75" customHeight="1" x14ac:dyDescent="0.25">
      <c r="A7800" s="163" t="s">
        <v>12255</v>
      </c>
      <c r="B7800" s="114" t="s">
        <v>15707</v>
      </c>
      <c r="C7800" s="94">
        <v>172</v>
      </c>
    </row>
    <row r="7801" spans="1:3" x14ac:dyDescent="0.25">
      <c r="A7801" s="163" t="s">
        <v>12256</v>
      </c>
      <c r="B7801" s="78" t="s">
        <v>12257</v>
      </c>
      <c r="C7801" s="94">
        <v>173</v>
      </c>
    </row>
    <row r="7802" spans="1:3" x14ac:dyDescent="0.25">
      <c r="A7802" s="163" t="s">
        <v>12258</v>
      </c>
      <c r="B7802" s="78" t="s">
        <v>12259</v>
      </c>
      <c r="C7802" s="94">
        <v>173</v>
      </c>
    </row>
    <row r="7803" spans="1:3" x14ac:dyDescent="0.25">
      <c r="A7803" s="162" t="s">
        <v>12260</v>
      </c>
      <c r="B7803" s="112" t="s">
        <v>12261</v>
      </c>
      <c r="C7803" s="93">
        <v>173</v>
      </c>
    </row>
    <row r="7804" spans="1:3" x14ac:dyDescent="0.25">
      <c r="A7804" s="162" t="s">
        <v>12262</v>
      </c>
      <c r="B7804" s="112" t="s">
        <v>12263</v>
      </c>
      <c r="C7804" s="93">
        <v>173</v>
      </c>
    </row>
    <row r="7805" spans="1:3" ht="15.75" customHeight="1" x14ac:dyDescent="0.25">
      <c r="A7805" s="163" t="s">
        <v>12264</v>
      </c>
      <c r="B7805" s="78" t="s">
        <v>15708</v>
      </c>
      <c r="C7805" s="94">
        <v>173</v>
      </c>
    </row>
    <row r="7806" spans="1:3" x14ac:dyDescent="0.25">
      <c r="A7806" s="163" t="s">
        <v>12265</v>
      </c>
      <c r="B7806" s="78" t="s">
        <v>15709</v>
      </c>
      <c r="C7806" s="94">
        <v>175</v>
      </c>
    </row>
    <row r="7807" spans="1:3" x14ac:dyDescent="0.25">
      <c r="A7807" s="163" t="s">
        <v>12266</v>
      </c>
      <c r="B7807" s="114" t="s">
        <v>15710</v>
      </c>
      <c r="C7807" s="94">
        <v>178</v>
      </c>
    </row>
    <row r="7808" spans="1:3" x14ac:dyDescent="0.25">
      <c r="A7808" s="162" t="s">
        <v>12267</v>
      </c>
      <c r="B7808" s="112" t="s">
        <v>12268</v>
      </c>
      <c r="C7808" s="93">
        <v>180</v>
      </c>
    </row>
    <row r="7809" spans="1:3" ht="31.5" x14ac:dyDescent="0.25">
      <c r="A7809" s="166" t="s">
        <v>12269</v>
      </c>
      <c r="B7809" s="167" t="s">
        <v>15711</v>
      </c>
      <c r="C7809" s="94">
        <v>182.5</v>
      </c>
    </row>
    <row r="7810" spans="1:3" ht="15.75" customHeight="1" x14ac:dyDescent="0.25">
      <c r="A7810" s="163" t="s">
        <v>12270</v>
      </c>
      <c r="B7810" s="78" t="s">
        <v>15712</v>
      </c>
      <c r="C7810" s="94">
        <v>183</v>
      </c>
    </row>
    <row r="7811" spans="1:3" x14ac:dyDescent="0.25">
      <c r="A7811" s="163" t="s">
        <v>12271</v>
      </c>
      <c r="B7811" s="78" t="s">
        <v>12272</v>
      </c>
      <c r="C7811" s="102">
        <v>184</v>
      </c>
    </row>
    <row r="7812" spans="1:3" x14ac:dyDescent="0.25">
      <c r="A7812" s="163" t="s">
        <v>12273</v>
      </c>
      <c r="B7812" s="78" t="s">
        <v>12274</v>
      </c>
      <c r="C7812" s="102">
        <v>184</v>
      </c>
    </row>
    <row r="7813" spans="1:3" x14ac:dyDescent="0.25">
      <c r="A7813" s="168" t="s">
        <v>12275</v>
      </c>
      <c r="B7813" s="115" t="s">
        <v>12276</v>
      </c>
      <c r="C7813" s="103">
        <v>187</v>
      </c>
    </row>
    <row r="7814" spans="1:3" x14ac:dyDescent="0.25">
      <c r="A7814" s="163" t="s">
        <v>12277</v>
      </c>
      <c r="B7814" s="78" t="s">
        <v>12278</v>
      </c>
      <c r="C7814" s="94">
        <v>188</v>
      </c>
    </row>
    <row r="7815" spans="1:3" x14ac:dyDescent="0.25">
      <c r="A7815" s="163" t="s">
        <v>12279</v>
      </c>
      <c r="B7815" s="78" t="s">
        <v>12280</v>
      </c>
      <c r="C7815" s="94">
        <v>190</v>
      </c>
    </row>
    <row r="7816" spans="1:3" ht="31.5" x14ac:dyDescent="0.25">
      <c r="A7816" s="163" t="s">
        <v>12281</v>
      </c>
      <c r="B7816" s="78" t="s">
        <v>12282</v>
      </c>
      <c r="C7816" s="94">
        <v>190</v>
      </c>
    </row>
    <row r="7817" spans="1:3" x14ac:dyDescent="0.25">
      <c r="A7817" s="162" t="s">
        <v>12283</v>
      </c>
      <c r="B7817" s="112" t="s">
        <v>12284</v>
      </c>
      <c r="C7817" s="93">
        <v>193</v>
      </c>
    </row>
    <row r="7818" spans="1:3" x14ac:dyDescent="0.25">
      <c r="A7818" s="162" t="s">
        <v>12285</v>
      </c>
      <c r="B7818" s="112" t="s">
        <v>12286</v>
      </c>
      <c r="C7818" s="93">
        <v>193</v>
      </c>
    </row>
    <row r="7819" spans="1:3" x14ac:dyDescent="0.25">
      <c r="A7819" s="162" t="s">
        <v>12287</v>
      </c>
      <c r="B7819" s="112" t="s">
        <v>12288</v>
      </c>
      <c r="C7819" s="93">
        <v>194</v>
      </c>
    </row>
    <row r="7820" spans="1:3" x14ac:dyDescent="0.25">
      <c r="A7820" s="162" t="s">
        <v>12289</v>
      </c>
      <c r="B7820" s="112" t="s">
        <v>12290</v>
      </c>
      <c r="C7820" s="93">
        <v>194</v>
      </c>
    </row>
    <row r="7821" spans="1:3" x14ac:dyDescent="0.25">
      <c r="A7821" s="163" t="s">
        <v>12291</v>
      </c>
      <c r="B7821" s="78" t="s">
        <v>12292</v>
      </c>
      <c r="C7821" s="94">
        <v>196</v>
      </c>
    </row>
    <row r="7822" spans="1:3" x14ac:dyDescent="0.25">
      <c r="A7822" s="163" t="s">
        <v>12293</v>
      </c>
      <c r="B7822" s="78" t="s">
        <v>12294</v>
      </c>
      <c r="C7822" s="94">
        <v>197</v>
      </c>
    </row>
    <row r="7823" spans="1:3" x14ac:dyDescent="0.25">
      <c r="A7823" s="163" t="s">
        <v>12295</v>
      </c>
      <c r="B7823" s="78" t="s">
        <v>12296</v>
      </c>
      <c r="C7823" s="94">
        <v>197</v>
      </c>
    </row>
    <row r="7824" spans="1:3" x14ac:dyDescent="0.25">
      <c r="A7824" s="162" t="s">
        <v>12297</v>
      </c>
      <c r="B7824" s="112" t="s">
        <v>15713</v>
      </c>
      <c r="C7824" s="104">
        <v>198</v>
      </c>
    </row>
    <row r="7825" spans="1:3" x14ac:dyDescent="0.25">
      <c r="A7825" s="163" t="s">
        <v>12298</v>
      </c>
      <c r="B7825" s="78" t="s">
        <v>12299</v>
      </c>
      <c r="C7825" s="94">
        <v>198</v>
      </c>
    </row>
    <row r="7826" spans="1:3" x14ac:dyDescent="0.25">
      <c r="A7826" s="162" t="s">
        <v>12300</v>
      </c>
      <c r="B7826" s="112" t="s">
        <v>12301</v>
      </c>
      <c r="C7826" s="104">
        <v>199</v>
      </c>
    </row>
    <row r="7827" spans="1:3" x14ac:dyDescent="0.25">
      <c r="A7827" s="162" t="s">
        <v>12302</v>
      </c>
      <c r="B7827" s="112" t="s">
        <v>12303</v>
      </c>
      <c r="C7827" s="104">
        <v>199</v>
      </c>
    </row>
    <row r="7828" spans="1:3" ht="15.75" customHeight="1" x14ac:dyDescent="0.25">
      <c r="A7828" s="162" t="s">
        <v>12304</v>
      </c>
      <c r="B7828" s="112" t="s">
        <v>12305</v>
      </c>
      <c r="C7828" s="105">
        <v>199</v>
      </c>
    </row>
    <row r="7829" spans="1:3" x14ac:dyDescent="0.25">
      <c r="A7829" s="162" t="s">
        <v>12306</v>
      </c>
      <c r="B7829" s="112" t="s">
        <v>12307</v>
      </c>
      <c r="C7829" s="93">
        <v>200</v>
      </c>
    </row>
    <row r="7830" spans="1:3" x14ac:dyDescent="0.25">
      <c r="A7830" s="163" t="s">
        <v>12308</v>
      </c>
      <c r="B7830" s="78" t="s">
        <v>12309</v>
      </c>
      <c r="C7830" s="94">
        <v>202</v>
      </c>
    </row>
    <row r="7831" spans="1:3" x14ac:dyDescent="0.25">
      <c r="A7831" s="163" t="s">
        <v>12310</v>
      </c>
      <c r="B7831" s="78" t="s">
        <v>12311</v>
      </c>
      <c r="C7831" s="94">
        <v>202</v>
      </c>
    </row>
    <row r="7832" spans="1:3" x14ac:dyDescent="0.25">
      <c r="A7832" s="163" t="s">
        <v>12312</v>
      </c>
      <c r="B7832" s="78" t="s">
        <v>12313</v>
      </c>
      <c r="C7832" s="94">
        <v>202</v>
      </c>
    </row>
    <row r="7833" spans="1:3" x14ac:dyDescent="0.25">
      <c r="A7833" s="163" t="s">
        <v>12314</v>
      </c>
      <c r="B7833" s="78" t="s">
        <v>12313</v>
      </c>
      <c r="C7833" s="94">
        <v>202</v>
      </c>
    </row>
    <row r="7834" spans="1:3" x14ac:dyDescent="0.25">
      <c r="A7834" s="163" t="s">
        <v>12315</v>
      </c>
      <c r="B7834" s="78" t="s">
        <v>12316</v>
      </c>
      <c r="C7834" s="94">
        <v>202</v>
      </c>
    </row>
    <row r="7835" spans="1:3" x14ac:dyDescent="0.25">
      <c r="A7835" s="163" t="s">
        <v>12315</v>
      </c>
      <c r="B7835" s="78" t="s">
        <v>12317</v>
      </c>
      <c r="C7835" s="94">
        <v>202</v>
      </c>
    </row>
    <row r="7836" spans="1:3" x14ac:dyDescent="0.25">
      <c r="A7836" s="162" t="s">
        <v>12318</v>
      </c>
      <c r="B7836" s="112" t="s">
        <v>12319</v>
      </c>
      <c r="C7836" s="93">
        <v>206</v>
      </c>
    </row>
    <row r="7837" spans="1:3" x14ac:dyDescent="0.25">
      <c r="A7837" s="163" t="s">
        <v>12320</v>
      </c>
      <c r="B7837" s="78" t="s">
        <v>12321</v>
      </c>
      <c r="C7837" s="94">
        <v>206</v>
      </c>
    </row>
    <row r="7838" spans="1:3" x14ac:dyDescent="0.25">
      <c r="A7838" s="162" t="s">
        <v>12322</v>
      </c>
      <c r="B7838" s="112" t="s">
        <v>12323</v>
      </c>
      <c r="C7838" s="93">
        <v>208</v>
      </c>
    </row>
    <row r="7839" spans="1:3" x14ac:dyDescent="0.25">
      <c r="A7839" s="163" t="s">
        <v>12324</v>
      </c>
      <c r="B7839" s="78" t="s">
        <v>15714</v>
      </c>
      <c r="C7839" s="94">
        <v>210</v>
      </c>
    </row>
    <row r="7840" spans="1:3" x14ac:dyDescent="0.25">
      <c r="A7840" s="163" t="s">
        <v>12325</v>
      </c>
      <c r="B7840" s="78" t="s">
        <v>15715</v>
      </c>
      <c r="C7840" s="94">
        <v>210</v>
      </c>
    </row>
    <row r="7841" spans="1:3" x14ac:dyDescent="0.25">
      <c r="A7841" s="163" t="s">
        <v>12326</v>
      </c>
      <c r="B7841" s="78" t="s">
        <v>12327</v>
      </c>
      <c r="C7841" s="94">
        <v>211</v>
      </c>
    </row>
    <row r="7842" spans="1:3" x14ac:dyDescent="0.25">
      <c r="A7842" s="163" t="s">
        <v>12328</v>
      </c>
      <c r="B7842" s="78" t="s">
        <v>12329</v>
      </c>
      <c r="C7842" s="94">
        <v>211</v>
      </c>
    </row>
    <row r="7843" spans="1:3" x14ac:dyDescent="0.25">
      <c r="A7843" s="163" t="s">
        <v>12330</v>
      </c>
      <c r="B7843" s="78" t="s">
        <v>12331</v>
      </c>
      <c r="C7843" s="94">
        <v>212</v>
      </c>
    </row>
    <row r="7844" spans="1:3" ht="15.75" customHeight="1" x14ac:dyDescent="0.25">
      <c r="A7844" s="162" t="s">
        <v>12332</v>
      </c>
      <c r="B7844" s="112" t="s">
        <v>12333</v>
      </c>
      <c r="C7844" s="104">
        <v>212</v>
      </c>
    </row>
    <row r="7845" spans="1:3" ht="31.5" x14ac:dyDescent="0.25">
      <c r="A7845" s="162" t="s">
        <v>12334</v>
      </c>
      <c r="B7845" s="112" t="s">
        <v>15716</v>
      </c>
      <c r="C7845" s="104">
        <v>212</v>
      </c>
    </row>
    <row r="7846" spans="1:3" x14ac:dyDescent="0.25">
      <c r="A7846" s="162" t="s">
        <v>12335</v>
      </c>
      <c r="B7846" s="112" t="s">
        <v>12336</v>
      </c>
      <c r="C7846" s="93">
        <v>212</v>
      </c>
    </row>
    <row r="7847" spans="1:3" ht="15.75" customHeight="1" x14ac:dyDescent="0.25">
      <c r="A7847" s="162" t="s">
        <v>12337</v>
      </c>
      <c r="B7847" s="112" t="s">
        <v>12338</v>
      </c>
      <c r="C7847" s="93">
        <v>213</v>
      </c>
    </row>
    <row r="7848" spans="1:3" x14ac:dyDescent="0.25">
      <c r="A7848" s="162" t="s">
        <v>12339</v>
      </c>
      <c r="B7848" s="112" t="s">
        <v>12340</v>
      </c>
      <c r="C7848" s="93">
        <v>213</v>
      </c>
    </row>
    <row r="7849" spans="1:3" ht="15.75" customHeight="1" x14ac:dyDescent="0.25">
      <c r="A7849" s="163" t="s">
        <v>12341</v>
      </c>
      <c r="B7849" s="78" t="s">
        <v>15717</v>
      </c>
      <c r="C7849" s="94">
        <v>215</v>
      </c>
    </row>
    <row r="7850" spans="1:3" x14ac:dyDescent="0.25">
      <c r="A7850" s="163" t="s">
        <v>12342</v>
      </c>
      <c r="B7850" s="78" t="s">
        <v>12343</v>
      </c>
      <c r="C7850" s="94">
        <v>216</v>
      </c>
    </row>
    <row r="7851" spans="1:3" x14ac:dyDescent="0.25">
      <c r="A7851" s="162" t="s">
        <v>12344</v>
      </c>
      <c r="B7851" s="112" t="s">
        <v>12345</v>
      </c>
      <c r="C7851" s="106">
        <v>216</v>
      </c>
    </row>
    <row r="7852" spans="1:3" ht="31.5" x14ac:dyDescent="0.25">
      <c r="A7852" s="162" t="s">
        <v>12346</v>
      </c>
      <c r="B7852" s="112" t="s">
        <v>12347</v>
      </c>
      <c r="C7852" s="105">
        <v>216</v>
      </c>
    </row>
    <row r="7853" spans="1:3" x14ac:dyDescent="0.25">
      <c r="A7853" s="163" t="s">
        <v>12348</v>
      </c>
      <c r="B7853" s="78" t="s">
        <v>12349</v>
      </c>
      <c r="C7853" s="94">
        <v>224</v>
      </c>
    </row>
    <row r="7854" spans="1:3" x14ac:dyDescent="0.25">
      <c r="A7854" s="162" t="s">
        <v>12350</v>
      </c>
      <c r="B7854" s="112" t="s">
        <v>12351</v>
      </c>
      <c r="C7854" s="93">
        <v>224</v>
      </c>
    </row>
    <row r="7855" spans="1:3" x14ac:dyDescent="0.25">
      <c r="A7855" s="162" t="s">
        <v>12352</v>
      </c>
      <c r="B7855" s="112" t="s">
        <v>12353</v>
      </c>
      <c r="C7855" s="106">
        <v>227</v>
      </c>
    </row>
    <row r="7856" spans="1:3" x14ac:dyDescent="0.25">
      <c r="A7856" s="163" t="s">
        <v>12354</v>
      </c>
      <c r="B7856" s="78" t="s">
        <v>12355</v>
      </c>
      <c r="C7856" s="101">
        <v>229</v>
      </c>
    </row>
    <row r="7857" spans="1:3" x14ac:dyDescent="0.25">
      <c r="A7857" s="163" t="s">
        <v>12356</v>
      </c>
      <c r="B7857" s="78" t="s">
        <v>12357</v>
      </c>
      <c r="C7857" s="101">
        <v>229</v>
      </c>
    </row>
    <row r="7858" spans="1:3" ht="15.75" customHeight="1" x14ac:dyDescent="0.25">
      <c r="A7858" s="163" t="s">
        <v>12358</v>
      </c>
      <c r="B7858" s="78" t="s">
        <v>12359</v>
      </c>
      <c r="C7858" s="101">
        <v>229</v>
      </c>
    </row>
    <row r="7859" spans="1:3" x14ac:dyDescent="0.25">
      <c r="A7859" s="163" t="s">
        <v>12360</v>
      </c>
      <c r="B7859" s="78" t="s">
        <v>12361</v>
      </c>
      <c r="C7859" s="94">
        <v>233</v>
      </c>
    </row>
    <row r="7860" spans="1:3" x14ac:dyDescent="0.25">
      <c r="A7860" s="163" t="s">
        <v>12362</v>
      </c>
      <c r="B7860" s="78" t="s">
        <v>12363</v>
      </c>
      <c r="C7860" s="94">
        <v>236</v>
      </c>
    </row>
    <row r="7861" spans="1:3" x14ac:dyDescent="0.25">
      <c r="A7861" s="163" t="s">
        <v>12364</v>
      </c>
      <c r="B7861" s="78" t="s">
        <v>12365</v>
      </c>
      <c r="C7861" s="94">
        <v>239</v>
      </c>
    </row>
    <row r="7862" spans="1:3" x14ac:dyDescent="0.25">
      <c r="A7862" s="163" t="s">
        <v>12366</v>
      </c>
      <c r="B7862" s="78" t="s">
        <v>12367</v>
      </c>
      <c r="C7862" s="94">
        <v>239</v>
      </c>
    </row>
    <row r="7863" spans="1:3" x14ac:dyDescent="0.25">
      <c r="A7863" s="163" t="s">
        <v>12368</v>
      </c>
      <c r="B7863" s="78" t="s">
        <v>15718</v>
      </c>
      <c r="C7863" s="94">
        <v>239</v>
      </c>
    </row>
    <row r="7864" spans="1:3" x14ac:dyDescent="0.25">
      <c r="A7864" s="163" t="s">
        <v>12369</v>
      </c>
      <c r="B7864" s="78" t="s">
        <v>12370</v>
      </c>
      <c r="C7864" s="94">
        <v>239</v>
      </c>
    </row>
    <row r="7865" spans="1:3" x14ac:dyDescent="0.25">
      <c r="A7865" s="163" t="s">
        <v>12371</v>
      </c>
      <c r="B7865" s="78" t="s">
        <v>12372</v>
      </c>
      <c r="C7865" s="94">
        <v>239</v>
      </c>
    </row>
    <row r="7866" spans="1:3" x14ac:dyDescent="0.25">
      <c r="A7866" s="163" t="s">
        <v>12373</v>
      </c>
      <c r="B7866" s="78" t="s">
        <v>12374</v>
      </c>
      <c r="C7866" s="94">
        <v>239</v>
      </c>
    </row>
    <row r="7867" spans="1:3" ht="15.75" customHeight="1" x14ac:dyDescent="0.25">
      <c r="A7867" s="163" t="s">
        <v>12375</v>
      </c>
      <c r="B7867" s="78" t="s">
        <v>15719</v>
      </c>
      <c r="C7867" s="94">
        <v>239</v>
      </c>
    </row>
    <row r="7868" spans="1:3" x14ac:dyDescent="0.25">
      <c r="A7868" s="163" t="s">
        <v>12376</v>
      </c>
      <c r="B7868" s="78" t="s">
        <v>12377</v>
      </c>
      <c r="C7868" s="94">
        <v>242</v>
      </c>
    </row>
    <row r="7869" spans="1:3" x14ac:dyDescent="0.25">
      <c r="A7869" s="163" t="s">
        <v>12378</v>
      </c>
      <c r="B7869" s="78" t="s">
        <v>12379</v>
      </c>
      <c r="C7869" s="102">
        <v>250</v>
      </c>
    </row>
    <row r="7870" spans="1:3" x14ac:dyDescent="0.25">
      <c r="A7870" s="163" t="s">
        <v>12380</v>
      </c>
      <c r="B7870" s="78" t="s">
        <v>12381</v>
      </c>
      <c r="C7870" s="94">
        <v>250</v>
      </c>
    </row>
    <row r="7871" spans="1:3" x14ac:dyDescent="0.25">
      <c r="A7871" s="163" t="s">
        <v>12382</v>
      </c>
      <c r="B7871" s="114" t="s">
        <v>12383</v>
      </c>
      <c r="C7871" s="94">
        <v>250</v>
      </c>
    </row>
    <row r="7872" spans="1:3" x14ac:dyDescent="0.25">
      <c r="A7872" s="163" t="s">
        <v>12384</v>
      </c>
      <c r="B7872" s="78" t="s">
        <v>12385</v>
      </c>
      <c r="C7872" s="94">
        <v>251</v>
      </c>
    </row>
    <row r="7873" spans="1:3" x14ac:dyDescent="0.25">
      <c r="A7873" s="163" t="s">
        <v>12386</v>
      </c>
      <c r="B7873" s="78" t="s">
        <v>12387</v>
      </c>
      <c r="C7873" s="94">
        <v>251</v>
      </c>
    </row>
    <row r="7874" spans="1:3" x14ac:dyDescent="0.25">
      <c r="A7874" s="163" t="s">
        <v>12388</v>
      </c>
      <c r="B7874" s="78" t="s">
        <v>15720</v>
      </c>
      <c r="C7874" s="94">
        <v>254</v>
      </c>
    </row>
    <row r="7875" spans="1:3" ht="15.75" customHeight="1" x14ac:dyDescent="0.25">
      <c r="A7875" s="163" t="s">
        <v>12389</v>
      </c>
      <c r="B7875" s="78" t="s">
        <v>12390</v>
      </c>
      <c r="C7875" s="94">
        <v>254</v>
      </c>
    </row>
    <row r="7876" spans="1:3" x14ac:dyDescent="0.25">
      <c r="A7876" s="163" t="s">
        <v>12391</v>
      </c>
      <c r="B7876" s="78" t="s">
        <v>12392</v>
      </c>
      <c r="C7876" s="94">
        <v>254</v>
      </c>
    </row>
    <row r="7877" spans="1:3" x14ac:dyDescent="0.25">
      <c r="A7877" s="163" t="s">
        <v>12393</v>
      </c>
      <c r="B7877" s="78" t="s">
        <v>12394</v>
      </c>
      <c r="C7877" s="94">
        <v>259</v>
      </c>
    </row>
    <row r="7878" spans="1:3" x14ac:dyDescent="0.25">
      <c r="A7878" s="163" t="s">
        <v>12395</v>
      </c>
      <c r="B7878" s="78" t="s">
        <v>12396</v>
      </c>
      <c r="C7878" s="94">
        <v>259</v>
      </c>
    </row>
    <row r="7879" spans="1:3" x14ac:dyDescent="0.25">
      <c r="A7879" s="163" t="s">
        <v>12397</v>
      </c>
      <c r="B7879" s="78" t="s">
        <v>12398</v>
      </c>
      <c r="C7879" s="94">
        <v>259</v>
      </c>
    </row>
    <row r="7880" spans="1:3" x14ac:dyDescent="0.25">
      <c r="A7880" s="162" t="s">
        <v>12399</v>
      </c>
      <c r="B7880" s="112" t="s">
        <v>12400</v>
      </c>
      <c r="C7880" s="93">
        <v>259</v>
      </c>
    </row>
    <row r="7881" spans="1:3" x14ac:dyDescent="0.25">
      <c r="A7881" s="163" t="s">
        <v>12401</v>
      </c>
      <c r="B7881" s="114" t="s">
        <v>12402</v>
      </c>
      <c r="C7881" s="94">
        <v>259</v>
      </c>
    </row>
    <row r="7882" spans="1:3" x14ac:dyDescent="0.25">
      <c r="A7882" s="163" t="s">
        <v>12403</v>
      </c>
      <c r="B7882" s="78" t="s">
        <v>12404</v>
      </c>
      <c r="C7882" s="94">
        <v>259</v>
      </c>
    </row>
    <row r="7883" spans="1:3" x14ac:dyDescent="0.25">
      <c r="A7883" s="163" t="s">
        <v>12405</v>
      </c>
      <c r="B7883" s="78" t="s">
        <v>12406</v>
      </c>
      <c r="C7883" s="94">
        <v>270</v>
      </c>
    </row>
    <row r="7884" spans="1:3" x14ac:dyDescent="0.25">
      <c r="A7884" s="163" t="s">
        <v>12407</v>
      </c>
      <c r="B7884" s="78" t="s">
        <v>15721</v>
      </c>
      <c r="C7884" s="94">
        <v>270</v>
      </c>
    </row>
    <row r="7885" spans="1:3" x14ac:dyDescent="0.25">
      <c r="A7885" s="163" t="s">
        <v>12408</v>
      </c>
      <c r="B7885" s="78" t="s">
        <v>12409</v>
      </c>
      <c r="C7885" s="94">
        <v>270</v>
      </c>
    </row>
    <row r="7886" spans="1:3" x14ac:dyDescent="0.25">
      <c r="A7886" s="162" t="s">
        <v>12410</v>
      </c>
      <c r="B7886" s="112" t="s">
        <v>12411</v>
      </c>
      <c r="C7886" s="93">
        <v>270</v>
      </c>
    </row>
    <row r="7887" spans="1:3" ht="31.5" x14ac:dyDescent="0.25">
      <c r="A7887" s="163" t="s">
        <v>12412</v>
      </c>
      <c r="B7887" s="78" t="s">
        <v>12413</v>
      </c>
      <c r="C7887" s="94">
        <v>275</v>
      </c>
    </row>
    <row r="7888" spans="1:3" x14ac:dyDescent="0.25">
      <c r="A7888" s="163" t="s">
        <v>12414</v>
      </c>
      <c r="B7888" s="78" t="s">
        <v>12415</v>
      </c>
      <c r="C7888" s="94">
        <v>275</v>
      </c>
    </row>
    <row r="7889" spans="1:3" x14ac:dyDescent="0.25">
      <c r="A7889" s="162" t="s">
        <v>12416</v>
      </c>
      <c r="B7889" s="112" t="s">
        <v>12417</v>
      </c>
      <c r="C7889" s="93">
        <v>276</v>
      </c>
    </row>
    <row r="7890" spans="1:3" ht="15.75" customHeight="1" x14ac:dyDescent="0.25">
      <c r="A7890" s="162" t="s">
        <v>12418</v>
      </c>
      <c r="B7890" s="112" t="s">
        <v>12419</v>
      </c>
      <c r="C7890" s="93">
        <v>277</v>
      </c>
    </row>
    <row r="7891" spans="1:3" x14ac:dyDescent="0.25">
      <c r="A7891" s="12" t="s">
        <v>12420</v>
      </c>
      <c r="B7891" s="78" t="s">
        <v>12421</v>
      </c>
      <c r="C7891" s="94">
        <v>280</v>
      </c>
    </row>
    <row r="7892" spans="1:3" x14ac:dyDescent="0.25">
      <c r="A7892" s="163" t="s">
        <v>12422</v>
      </c>
      <c r="B7892" s="78" t="s">
        <v>12423</v>
      </c>
      <c r="C7892" s="101">
        <v>282</v>
      </c>
    </row>
    <row r="7893" spans="1:3" x14ac:dyDescent="0.25">
      <c r="A7893" s="163" t="s">
        <v>12424</v>
      </c>
      <c r="B7893" s="78" t="s">
        <v>12425</v>
      </c>
      <c r="C7893" s="94">
        <v>295</v>
      </c>
    </row>
    <row r="7894" spans="1:3" x14ac:dyDescent="0.25">
      <c r="A7894" s="163" t="s">
        <v>12426</v>
      </c>
      <c r="B7894" s="78" t="s">
        <v>12427</v>
      </c>
      <c r="C7894" s="101">
        <v>300</v>
      </c>
    </row>
    <row r="7895" spans="1:3" x14ac:dyDescent="0.25">
      <c r="A7895" s="163" t="s">
        <v>12428</v>
      </c>
      <c r="B7895" s="78" t="s">
        <v>12429</v>
      </c>
      <c r="C7895" s="94">
        <v>307</v>
      </c>
    </row>
    <row r="7896" spans="1:3" x14ac:dyDescent="0.25">
      <c r="A7896" s="163" t="s">
        <v>12430</v>
      </c>
      <c r="B7896" s="78" t="s">
        <v>12431</v>
      </c>
      <c r="C7896" s="94">
        <v>307</v>
      </c>
    </row>
    <row r="7897" spans="1:3" x14ac:dyDescent="0.25">
      <c r="A7897" s="163" t="s">
        <v>12432</v>
      </c>
      <c r="B7897" s="78" t="s">
        <v>12433</v>
      </c>
      <c r="C7897" s="94">
        <v>307</v>
      </c>
    </row>
    <row r="7898" spans="1:3" x14ac:dyDescent="0.25">
      <c r="A7898" s="163" t="s">
        <v>12434</v>
      </c>
      <c r="B7898" s="78" t="s">
        <v>12435</v>
      </c>
      <c r="C7898" s="94">
        <v>307</v>
      </c>
    </row>
    <row r="7899" spans="1:3" x14ac:dyDescent="0.25">
      <c r="A7899" s="163" t="s">
        <v>12436</v>
      </c>
      <c r="B7899" s="78" t="s">
        <v>12435</v>
      </c>
      <c r="C7899" s="94">
        <v>307</v>
      </c>
    </row>
    <row r="7900" spans="1:3" x14ac:dyDescent="0.25">
      <c r="A7900" s="163" t="s">
        <v>12437</v>
      </c>
      <c r="B7900" s="78" t="s">
        <v>15722</v>
      </c>
      <c r="C7900" s="102">
        <v>310</v>
      </c>
    </row>
    <row r="7901" spans="1:3" x14ac:dyDescent="0.25">
      <c r="A7901" s="162" t="s">
        <v>12438</v>
      </c>
      <c r="B7901" s="112" t="s">
        <v>12439</v>
      </c>
      <c r="C7901" s="93">
        <v>318</v>
      </c>
    </row>
    <row r="7902" spans="1:3" x14ac:dyDescent="0.25">
      <c r="A7902" s="162" t="s">
        <v>12440</v>
      </c>
      <c r="B7902" s="112" t="s">
        <v>12441</v>
      </c>
      <c r="C7902" s="93">
        <v>318</v>
      </c>
    </row>
    <row r="7903" spans="1:3" x14ac:dyDescent="0.25">
      <c r="A7903" s="163" t="s">
        <v>12442</v>
      </c>
      <c r="B7903" s="78" t="s">
        <v>12443</v>
      </c>
      <c r="C7903" s="101">
        <v>319</v>
      </c>
    </row>
    <row r="7904" spans="1:3" x14ac:dyDescent="0.25">
      <c r="A7904" s="163" t="s">
        <v>12444</v>
      </c>
      <c r="B7904" s="116" t="s">
        <v>12445</v>
      </c>
      <c r="C7904" s="102">
        <v>319</v>
      </c>
    </row>
    <row r="7905" spans="1:3" x14ac:dyDescent="0.25">
      <c r="A7905" s="163" t="s">
        <v>12446</v>
      </c>
      <c r="B7905" s="78" t="s">
        <v>15723</v>
      </c>
      <c r="C7905" s="102">
        <v>320</v>
      </c>
    </row>
    <row r="7906" spans="1:3" x14ac:dyDescent="0.25">
      <c r="A7906" s="163" t="s">
        <v>12447</v>
      </c>
      <c r="B7906" s="78" t="s">
        <v>12448</v>
      </c>
      <c r="C7906" s="94">
        <v>321</v>
      </c>
    </row>
    <row r="7907" spans="1:3" x14ac:dyDescent="0.25">
      <c r="A7907" s="163" t="s">
        <v>12449</v>
      </c>
      <c r="B7907" s="78" t="s">
        <v>12450</v>
      </c>
      <c r="C7907" s="94">
        <v>321</v>
      </c>
    </row>
    <row r="7908" spans="1:3" x14ac:dyDescent="0.25">
      <c r="A7908" s="163" t="s">
        <v>12451</v>
      </c>
      <c r="B7908" s="78" t="s">
        <v>12452</v>
      </c>
      <c r="C7908" s="94">
        <v>330</v>
      </c>
    </row>
    <row r="7909" spans="1:3" x14ac:dyDescent="0.25">
      <c r="A7909" s="163" t="s">
        <v>12453</v>
      </c>
      <c r="B7909" s="78" t="s">
        <v>12454</v>
      </c>
      <c r="C7909" s="94">
        <v>330</v>
      </c>
    </row>
    <row r="7910" spans="1:3" x14ac:dyDescent="0.25">
      <c r="A7910" s="162" t="s">
        <v>12455</v>
      </c>
      <c r="B7910" s="112" t="s">
        <v>12456</v>
      </c>
      <c r="C7910" s="105">
        <v>338</v>
      </c>
    </row>
    <row r="7911" spans="1:3" x14ac:dyDescent="0.25">
      <c r="A7911" s="163" t="s">
        <v>12457</v>
      </c>
      <c r="B7911" s="78" t="s">
        <v>12458</v>
      </c>
      <c r="C7911" s="94">
        <v>339</v>
      </c>
    </row>
    <row r="7912" spans="1:3" x14ac:dyDescent="0.25">
      <c r="A7912" s="163" t="s">
        <v>12459</v>
      </c>
      <c r="B7912" s="114" t="s">
        <v>12460</v>
      </c>
      <c r="C7912" s="94">
        <v>341</v>
      </c>
    </row>
    <row r="7913" spans="1:3" x14ac:dyDescent="0.25">
      <c r="A7913" s="163" t="s">
        <v>12461</v>
      </c>
      <c r="B7913" s="114" t="s">
        <v>12462</v>
      </c>
      <c r="C7913" s="94">
        <v>341</v>
      </c>
    </row>
    <row r="7914" spans="1:3" x14ac:dyDescent="0.25">
      <c r="A7914" s="163" t="s">
        <v>12463</v>
      </c>
      <c r="B7914" s="78" t="s">
        <v>12464</v>
      </c>
      <c r="C7914" s="94">
        <v>341</v>
      </c>
    </row>
    <row r="7915" spans="1:3" x14ac:dyDescent="0.25">
      <c r="A7915" s="163" t="s">
        <v>12465</v>
      </c>
      <c r="B7915" s="78" t="s">
        <v>12466</v>
      </c>
      <c r="C7915" s="94">
        <v>341</v>
      </c>
    </row>
    <row r="7916" spans="1:3" x14ac:dyDescent="0.25">
      <c r="A7916" s="162" t="s">
        <v>12467</v>
      </c>
      <c r="B7916" s="112" t="s">
        <v>12468</v>
      </c>
      <c r="C7916" s="105">
        <v>343</v>
      </c>
    </row>
    <row r="7917" spans="1:3" x14ac:dyDescent="0.25">
      <c r="A7917" s="163" t="s">
        <v>12469</v>
      </c>
      <c r="B7917" s="78" t="s">
        <v>12470</v>
      </c>
      <c r="C7917" s="94">
        <v>343</v>
      </c>
    </row>
    <row r="7918" spans="1:3" x14ac:dyDescent="0.25">
      <c r="A7918" s="163" t="s">
        <v>12471</v>
      </c>
      <c r="B7918" s="78" t="s">
        <v>12472</v>
      </c>
      <c r="C7918" s="94">
        <v>347</v>
      </c>
    </row>
    <row r="7919" spans="1:3" x14ac:dyDescent="0.25">
      <c r="A7919" s="163" t="s">
        <v>12473</v>
      </c>
      <c r="B7919" s="78" t="s">
        <v>12474</v>
      </c>
      <c r="C7919" s="94">
        <v>350</v>
      </c>
    </row>
    <row r="7920" spans="1:3" x14ac:dyDescent="0.25">
      <c r="A7920" s="163" t="s">
        <v>12475</v>
      </c>
      <c r="B7920" s="78" t="s">
        <v>12476</v>
      </c>
      <c r="C7920" s="94">
        <v>350</v>
      </c>
    </row>
    <row r="7921" spans="1:3" x14ac:dyDescent="0.25">
      <c r="A7921" s="163" t="s">
        <v>12477</v>
      </c>
      <c r="B7921" s="78" t="s">
        <v>15724</v>
      </c>
      <c r="C7921" s="94">
        <v>350</v>
      </c>
    </row>
    <row r="7922" spans="1:3" x14ac:dyDescent="0.25">
      <c r="A7922" s="163" t="s">
        <v>12478</v>
      </c>
      <c r="B7922" s="78" t="s">
        <v>12479</v>
      </c>
      <c r="C7922" s="94">
        <v>350</v>
      </c>
    </row>
    <row r="7923" spans="1:3" x14ac:dyDescent="0.25">
      <c r="A7923" s="163" t="s">
        <v>12480</v>
      </c>
      <c r="B7923" s="78" t="s">
        <v>12481</v>
      </c>
      <c r="C7923" s="94">
        <v>353</v>
      </c>
    </row>
    <row r="7924" spans="1:3" x14ac:dyDescent="0.25">
      <c r="A7924" s="163" t="s">
        <v>12482</v>
      </c>
      <c r="B7924" s="78" t="s">
        <v>12483</v>
      </c>
      <c r="C7924" s="94">
        <v>353</v>
      </c>
    </row>
    <row r="7925" spans="1:3" x14ac:dyDescent="0.25">
      <c r="A7925" s="163" t="s">
        <v>12484</v>
      </c>
      <c r="B7925" s="78" t="s">
        <v>12485</v>
      </c>
      <c r="C7925" s="94">
        <v>353</v>
      </c>
    </row>
    <row r="7926" spans="1:3" x14ac:dyDescent="0.25">
      <c r="A7926" s="162" t="s">
        <v>12486</v>
      </c>
      <c r="B7926" s="112" t="s">
        <v>12487</v>
      </c>
      <c r="C7926" s="93">
        <v>353</v>
      </c>
    </row>
    <row r="7927" spans="1:3" x14ac:dyDescent="0.25">
      <c r="A7927" s="162" t="s">
        <v>12488</v>
      </c>
      <c r="B7927" s="112" t="s">
        <v>12489</v>
      </c>
      <c r="C7927" s="93">
        <v>353</v>
      </c>
    </row>
    <row r="7928" spans="1:3" x14ac:dyDescent="0.25">
      <c r="A7928" s="162" t="s">
        <v>12490</v>
      </c>
      <c r="B7928" s="112" t="s">
        <v>12491</v>
      </c>
      <c r="C7928" s="93">
        <v>353</v>
      </c>
    </row>
    <row r="7929" spans="1:3" x14ac:dyDescent="0.25">
      <c r="A7929" s="163" t="s">
        <v>12492</v>
      </c>
      <c r="B7929" s="78" t="s">
        <v>12493</v>
      </c>
      <c r="C7929" s="94">
        <v>353</v>
      </c>
    </row>
    <row r="7930" spans="1:3" x14ac:dyDescent="0.25">
      <c r="A7930" s="163" t="s">
        <v>12494</v>
      </c>
      <c r="B7930" s="78" t="s">
        <v>12495</v>
      </c>
      <c r="C7930" s="94">
        <v>353</v>
      </c>
    </row>
    <row r="7931" spans="1:3" x14ac:dyDescent="0.25">
      <c r="A7931" s="163" t="s">
        <v>12496</v>
      </c>
      <c r="B7931" s="78" t="s">
        <v>12497</v>
      </c>
      <c r="C7931" s="94">
        <v>353</v>
      </c>
    </row>
    <row r="7932" spans="1:3" x14ac:dyDescent="0.25">
      <c r="A7932" s="163" t="s">
        <v>12498</v>
      </c>
      <c r="B7932" s="78" t="s">
        <v>12499</v>
      </c>
      <c r="C7932" s="94">
        <v>353</v>
      </c>
    </row>
    <row r="7933" spans="1:3" x14ac:dyDescent="0.25">
      <c r="A7933" s="162" t="s">
        <v>12500</v>
      </c>
      <c r="B7933" s="112" t="s">
        <v>12501</v>
      </c>
      <c r="C7933" s="93">
        <v>353</v>
      </c>
    </row>
    <row r="7934" spans="1:3" x14ac:dyDescent="0.25">
      <c r="A7934" s="163" t="s">
        <v>12502</v>
      </c>
      <c r="B7934" s="78" t="s">
        <v>12503</v>
      </c>
      <c r="C7934" s="94">
        <v>353</v>
      </c>
    </row>
    <row r="7935" spans="1:3" x14ac:dyDescent="0.25">
      <c r="A7935" s="163" t="s">
        <v>12504</v>
      </c>
      <c r="B7935" s="78" t="s">
        <v>12505</v>
      </c>
      <c r="C7935" s="94">
        <v>353</v>
      </c>
    </row>
    <row r="7936" spans="1:3" x14ac:dyDescent="0.25">
      <c r="A7936" s="163" t="s">
        <v>12504</v>
      </c>
      <c r="B7936" s="78" t="s">
        <v>12506</v>
      </c>
      <c r="C7936" s="94">
        <v>353</v>
      </c>
    </row>
    <row r="7937" spans="1:3" x14ac:dyDescent="0.25">
      <c r="A7937" s="163" t="s">
        <v>12507</v>
      </c>
      <c r="B7937" s="78" t="s">
        <v>12508</v>
      </c>
      <c r="C7937" s="94">
        <v>353</v>
      </c>
    </row>
    <row r="7938" spans="1:3" x14ac:dyDescent="0.25">
      <c r="A7938" s="12" t="s">
        <v>12509</v>
      </c>
      <c r="B7938" s="78" t="s">
        <v>12510</v>
      </c>
      <c r="C7938" s="94">
        <v>353</v>
      </c>
    </row>
    <row r="7939" spans="1:3" ht="31.5" x14ac:dyDescent="0.25">
      <c r="A7939" s="162" t="s">
        <v>12511</v>
      </c>
      <c r="B7939" s="112" t="s">
        <v>15725</v>
      </c>
      <c r="C7939" s="105">
        <v>354</v>
      </c>
    </row>
    <row r="7940" spans="1:3" x14ac:dyDescent="0.25">
      <c r="A7940" s="163" t="s">
        <v>12512</v>
      </c>
      <c r="B7940" s="78" t="s">
        <v>12513</v>
      </c>
      <c r="C7940" s="94">
        <v>355</v>
      </c>
    </row>
    <row r="7941" spans="1:3" x14ac:dyDescent="0.25">
      <c r="A7941" s="163" t="s">
        <v>12514</v>
      </c>
      <c r="B7941" s="114" t="s">
        <v>12515</v>
      </c>
      <c r="C7941" s="94">
        <v>355</v>
      </c>
    </row>
    <row r="7942" spans="1:3" x14ac:dyDescent="0.25">
      <c r="A7942" s="162" t="s">
        <v>12516</v>
      </c>
      <c r="B7942" s="117" t="s">
        <v>12517</v>
      </c>
      <c r="C7942" s="107">
        <v>356</v>
      </c>
    </row>
    <row r="7943" spans="1:3" ht="31.5" x14ac:dyDescent="0.25">
      <c r="A7943" s="163" t="s">
        <v>12518</v>
      </c>
      <c r="B7943" s="78" t="s">
        <v>15726</v>
      </c>
      <c r="C7943" s="102">
        <v>356</v>
      </c>
    </row>
    <row r="7944" spans="1:3" ht="31.5" x14ac:dyDescent="0.25">
      <c r="A7944" s="163" t="s">
        <v>12519</v>
      </c>
      <c r="B7944" s="78" t="s">
        <v>12520</v>
      </c>
      <c r="C7944" s="102">
        <v>356</v>
      </c>
    </row>
    <row r="7945" spans="1:3" x14ac:dyDescent="0.25">
      <c r="A7945" s="163" t="s">
        <v>12521</v>
      </c>
      <c r="B7945" s="78" t="s">
        <v>12522</v>
      </c>
      <c r="C7945" s="94">
        <v>362</v>
      </c>
    </row>
    <row r="7946" spans="1:3" x14ac:dyDescent="0.25">
      <c r="A7946" s="163" t="s">
        <v>12523</v>
      </c>
      <c r="B7946" s="78" t="s">
        <v>12524</v>
      </c>
      <c r="C7946" s="94">
        <v>364</v>
      </c>
    </row>
    <row r="7947" spans="1:3" x14ac:dyDescent="0.25">
      <c r="A7947" s="163" t="s">
        <v>12525</v>
      </c>
      <c r="B7947" s="78" t="s">
        <v>12526</v>
      </c>
      <c r="C7947" s="94">
        <v>364</v>
      </c>
    </row>
    <row r="7948" spans="1:3" x14ac:dyDescent="0.25">
      <c r="A7948" s="163" t="s">
        <v>12527</v>
      </c>
      <c r="B7948" s="78" t="s">
        <v>12528</v>
      </c>
      <c r="C7948" s="94">
        <v>364</v>
      </c>
    </row>
    <row r="7949" spans="1:3" ht="15.75" customHeight="1" x14ac:dyDescent="0.25">
      <c r="A7949" s="166" t="s">
        <v>12529</v>
      </c>
      <c r="B7949" s="167" t="s">
        <v>12530</v>
      </c>
      <c r="C7949" s="94">
        <v>365</v>
      </c>
    </row>
    <row r="7950" spans="1:3" x14ac:dyDescent="0.25">
      <c r="A7950" s="163" t="s">
        <v>12531</v>
      </c>
      <c r="B7950" s="78" t="s">
        <v>12532</v>
      </c>
      <c r="C7950" s="94">
        <v>367</v>
      </c>
    </row>
    <row r="7951" spans="1:3" x14ac:dyDescent="0.25">
      <c r="A7951" s="163" t="s">
        <v>12533</v>
      </c>
      <c r="B7951" s="78" t="s">
        <v>15727</v>
      </c>
      <c r="C7951" s="94">
        <v>367</v>
      </c>
    </row>
    <row r="7952" spans="1:3" x14ac:dyDescent="0.25">
      <c r="A7952" s="162" t="s">
        <v>12534</v>
      </c>
      <c r="B7952" s="112" t="s">
        <v>12535</v>
      </c>
      <c r="C7952" s="105">
        <v>370</v>
      </c>
    </row>
    <row r="7953" spans="1:3" ht="31.5" x14ac:dyDescent="0.25">
      <c r="A7953" s="118" t="s">
        <v>12536</v>
      </c>
      <c r="B7953" s="116" t="s">
        <v>12537</v>
      </c>
      <c r="C7953" s="102">
        <v>370</v>
      </c>
    </row>
    <row r="7954" spans="1:3" x14ac:dyDescent="0.25">
      <c r="A7954" s="163" t="s">
        <v>12538</v>
      </c>
      <c r="B7954" s="78" t="s">
        <v>12539</v>
      </c>
      <c r="C7954" s="94">
        <v>372</v>
      </c>
    </row>
    <row r="7955" spans="1:3" x14ac:dyDescent="0.25">
      <c r="A7955" s="118" t="s">
        <v>15728</v>
      </c>
      <c r="B7955" s="78" t="s">
        <v>12540</v>
      </c>
      <c r="C7955" s="94">
        <v>375</v>
      </c>
    </row>
    <row r="7956" spans="1:3" x14ac:dyDescent="0.25">
      <c r="A7956" s="163" t="s">
        <v>12541</v>
      </c>
      <c r="B7956" s="78" t="s">
        <v>12542</v>
      </c>
      <c r="C7956" s="94">
        <v>375</v>
      </c>
    </row>
    <row r="7957" spans="1:3" x14ac:dyDescent="0.25">
      <c r="A7957" s="163" t="s">
        <v>12543</v>
      </c>
      <c r="B7957" s="78" t="s">
        <v>12544</v>
      </c>
      <c r="C7957" s="94">
        <v>376</v>
      </c>
    </row>
    <row r="7958" spans="1:3" x14ac:dyDescent="0.25">
      <c r="A7958" s="162" t="s">
        <v>12545</v>
      </c>
      <c r="B7958" s="112" t="s">
        <v>12546</v>
      </c>
      <c r="C7958" s="93">
        <v>377</v>
      </c>
    </row>
    <row r="7959" spans="1:3" x14ac:dyDescent="0.25">
      <c r="A7959" s="162" t="s">
        <v>12547</v>
      </c>
      <c r="B7959" s="117" t="s">
        <v>12548</v>
      </c>
      <c r="C7959" s="107">
        <v>377</v>
      </c>
    </row>
    <row r="7960" spans="1:3" x14ac:dyDescent="0.25">
      <c r="A7960" s="163" t="s">
        <v>12549</v>
      </c>
      <c r="B7960" s="78" t="s">
        <v>12550</v>
      </c>
      <c r="C7960" s="94">
        <v>379</v>
      </c>
    </row>
    <row r="7961" spans="1:3" x14ac:dyDescent="0.25">
      <c r="A7961" s="163" t="s">
        <v>12551</v>
      </c>
      <c r="B7961" s="78" t="s">
        <v>12552</v>
      </c>
      <c r="C7961" s="101">
        <v>382</v>
      </c>
    </row>
    <row r="7962" spans="1:3" x14ac:dyDescent="0.25">
      <c r="A7962" s="163" t="s">
        <v>12553</v>
      </c>
      <c r="B7962" s="78" t="s">
        <v>12554</v>
      </c>
      <c r="C7962" s="101">
        <v>382</v>
      </c>
    </row>
    <row r="7963" spans="1:3" x14ac:dyDescent="0.25">
      <c r="A7963" s="163" t="s">
        <v>12555</v>
      </c>
      <c r="B7963" s="78" t="s">
        <v>12556</v>
      </c>
      <c r="C7963" s="94">
        <v>385</v>
      </c>
    </row>
    <row r="7964" spans="1:3" x14ac:dyDescent="0.25">
      <c r="A7964" s="163" t="s">
        <v>12557</v>
      </c>
      <c r="B7964" s="78" t="s">
        <v>12558</v>
      </c>
      <c r="C7964" s="94">
        <v>385</v>
      </c>
    </row>
    <row r="7965" spans="1:3" x14ac:dyDescent="0.25">
      <c r="A7965" s="169" t="s">
        <v>12559</v>
      </c>
      <c r="B7965" s="78" t="s">
        <v>15729</v>
      </c>
      <c r="C7965" s="101">
        <v>386</v>
      </c>
    </row>
    <row r="7966" spans="1:3" x14ac:dyDescent="0.25">
      <c r="A7966" s="162" t="s">
        <v>12560</v>
      </c>
      <c r="B7966" s="112" t="s">
        <v>12561</v>
      </c>
      <c r="C7966" s="93">
        <v>386</v>
      </c>
    </row>
    <row r="7967" spans="1:3" x14ac:dyDescent="0.25">
      <c r="A7967" s="162" t="s">
        <v>12562</v>
      </c>
      <c r="B7967" s="112" t="s">
        <v>12563</v>
      </c>
      <c r="C7967" s="93">
        <v>386</v>
      </c>
    </row>
    <row r="7968" spans="1:3" x14ac:dyDescent="0.25">
      <c r="A7968" s="163" t="s">
        <v>12564</v>
      </c>
      <c r="B7968" s="78" t="s">
        <v>12565</v>
      </c>
      <c r="C7968" s="94">
        <v>387</v>
      </c>
    </row>
    <row r="7969" spans="1:3" x14ac:dyDescent="0.25">
      <c r="A7969" s="170" t="s">
        <v>12566</v>
      </c>
      <c r="B7969" s="114" t="s">
        <v>12567</v>
      </c>
      <c r="C7969" s="94">
        <v>387</v>
      </c>
    </row>
    <row r="7970" spans="1:3" x14ac:dyDescent="0.25">
      <c r="A7970" s="162" t="s">
        <v>12568</v>
      </c>
      <c r="B7970" s="112" t="s">
        <v>12569</v>
      </c>
      <c r="C7970" s="105">
        <v>392</v>
      </c>
    </row>
    <row r="7971" spans="1:3" x14ac:dyDescent="0.25">
      <c r="A7971" s="163" t="s">
        <v>12570</v>
      </c>
      <c r="B7971" s="78" t="s">
        <v>12571</v>
      </c>
      <c r="C7971" s="94">
        <v>392</v>
      </c>
    </row>
    <row r="7972" spans="1:3" x14ac:dyDescent="0.25">
      <c r="A7972" s="163" t="s">
        <v>12572</v>
      </c>
      <c r="B7972" s="78" t="s">
        <v>12573</v>
      </c>
      <c r="C7972" s="94">
        <v>392</v>
      </c>
    </row>
    <row r="7973" spans="1:3" x14ac:dyDescent="0.25">
      <c r="A7973" s="162" t="s">
        <v>12574</v>
      </c>
      <c r="B7973" s="112" t="s">
        <v>12575</v>
      </c>
      <c r="C7973" s="105">
        <v>397</v>
      </c>
    </row>
    <row r="7974" spans="1:3" ht="15.75" customHeight="1" x14ac:dyDescent="0.25">
      <c r="A7974" s="171" t="s">
        <v>12576</v>
      </c>
      <c r="B7974" s="117" t="s">
        <v>12577</v>
      </c>
      <c r="C7974" s="107">
        <v>397</v>
      </c>
    </row>
    <row r="7975" spans="1:3" x14ac:dyDescent="0.25">
      <c r="A7975" s="119" t="s">
        <v>12576</v>
      </c>
      <c r="B7975" s="117" t="s">
        <v>12578</v>
      </c>
      <c r="C7975" s="108">
        <v>397</v>
      </c>
    </row>
    <row r="7976" spans="1:3" x14ac:dyDescent="0.25">
      <c r="A7976" s="162" t="s">
        <v>12579</v>
      </c>
      <c r="B7976" s="112" t="s">
        <v>12580</v>
      </c>
      <c r="C7976" s="93">
        <v>399</v>
      </c>
    </row>
    <row r="7977" spans="1:3" x14ac:dyDescent="0.25">
      <c r="A7977" s="163" t="s">
        <v>12581</v>
      </c>
      <c r="B7977" s="78" t="s">
        <v>15730</v>
      </c>
      <c r="C7977" s="94">
        <v>399</v>
      </c>
    </row>
    <row r="7978" spans="1:3" x14ac:dyDescent="0.25">
      <c r="A7978" s="163" t="s">
        <v>12581</v>
      </c>
      <c r="B7978" s="78" t="s">
        <v>15731</v>
      </c>
      <c r="C7978" s="94">
        <v>399</v>
      </c>
    </row>
    <row r="7979" spans="1:3" ht="31.5" x14ac:dyDescent="0.25">
      <c r="A7979" s="163" t="s">
        <v>12582</v>
      </c>
      <c r="B7979" s="78" t="s">
        <v>12583</v>
      </c>
      <c r="C7979" s="94">
        <v>399</v>
      </c>
    </row>
    <row r="7980" spans="1:3" x14ac:dyDescent="0.25">
      <c r="A7980" s="163" t="s">
        <v>12584</v>
      </c>
      <c r="B7980" s="78" t="s">
        <v>12585</v>
      </c>
      <c r="C7980" s="94">
        <v>399</v>
      </c>
    </row>
    <row r="7981" spans="1:3" x14ac:dyDescent="0.25">
      <c r="A7981" s="163" t="s">
        <v>12586</v>
      </c>
      <c r="B7981" s="78" t="s">
        <v>12587</v>
      </c>
      <c r="C7981" s="94">
        <v>399</v>
      </c>
    </row>
    <row r="7982" spans="1:3" x14ac:dyDescent="0.25">
      <c r="A7982" s="163" t="s">
        <v>12588</v>
      </c>
      <c r="B7982" s="78" t="s">
        <v>12589</v>
      </c>
      <c r="C7982" s="94">
        <v>400</v>
      </c>
    </row>
    <row r="7983" spans="1:3" x14ac:dyDescent="0.25">
      <c r="A7983" s="163" t="s">
        <v>12590</v>
      </c>
      <c r="B7983" s="78" t="s">
        <v>12591</v>
      </c>
      <c r="C7983" s="94">
        <v>400</v>
      </c>
    </row>
    <row r="7984" spans="1:3" x14ac:dyDescent="0.25">
      <c r="A7984" s="162" t="s">
        <v>12592</v>
      </c>
      <c r="B7984" s="112" t="s">
        <v>12593</v>
      </c>
      <c r="C7984" s="93">
        <v>405</v>
      </c>
    </row>
    <row r="7985" spans="1:3" x14ac:dyDescent="0.25">
      <c r="A7985" s="163" t="s">
        <v>12594</v>
      </c>
      <c r="B7985" s="78" t="s">
        <v>12595</v>
      </c>
      <c r="C7985" s="94">
        <v>405</v>
      </c>
    </row>
    <row r="7986" spans="1:3" x14ac:dyDescent="0.25">
      <c r="A7986" s="163" t="s">
        <v>12596</v>
      </c>
      <c r="B7986" s="78" t="s">
        <v>12597</v>
      </c>
      <c r="C7986" s="94">
        <v>405</v>
      </c>
    </row>
    <row r="7987" spans="1:3" ht="15.75" customHeight="1" x14ac:dyDescent="0.25">
      <c r="A7987" s="163" t="s">
        <v>12598</v>
      </c>
      <c r="B7987" s="78" t="s">
        <v>12599</v>
      </c>
      <c r="C7987" s="94">
        <v>418</v>
      </c>
    </row>
    <row r="7988" spans="1:3" x14ac:dyDescent="0.25">
      <c r="A7988" s="172" t="s">
        <v>12600</v>
      </c>
      <c r="B7988" s="112" t="s">
        <v>15732</v>
      </c>
      <c r="C7988" s="105">
        <v>418</v>
      </c>
    </row>
    <row r="7989" spans="1:3" x14ac:dyDescent="0.25">
      <c r="A7989" s="163" t="s">
        <v>12601</v>
      </c>
      <c r="B7989" s="78" t="s">
        <v>12602</v>
      </c>
      <c r="C7989" s="94">
        <v>418</v>
      </c>
    </row>
    <row r="7990" spans="1:3" x14ac:dyDescent="0.25">
      <c r="A7990" s="163" t="s">
        <v>12603</v>
      </c>
      <c r="B7990" s="78" t="s">
        <v>12604</v>
      </c>
      <c r="C7990" s="94">
        <v>418</v>
      </c>
    </row>
    <row r="7991" spans="1:3" x14ac:dyDescent="0.25">
      <c r="A7991" s="162" t="s">
        <v>12605</v>
      </c>
      <c r="B7991" s="112" t="s">
        <v>12606</v>
      </c>
      <c r="C7991" s="93">
        <v>419</v>
      </c>
    </row>
    <row r="7992" spans="1:3" x14ac:dyDescent="0.25">
      <c r="A7992" s="163" t="s">
        <v>12607</v>
      </c>
      <c r="B7992" s="78" t="s">
        <v>12608</v>
      </c>
      <c r="C7992" s="94">
        <v>419</v>
      </c>
    </row>
    <row r="7993" spans="1:3" x14ac:dyDescent="0.25">
      <c r="A7993" s="163" t="s">
        <v>12609</v>
      </c>
      <c r="B7993" s="78" t="s">
        <v>12610</v>
      </c>
      <c r="C7993" s="101">
        <v>420</v>
      </c>
    </row>
    <row r="7994" spans="1:3" x14ac:dyDescent="0.25">
      <c r="A7994" s="163" t="s">
        <v>12611</v>
      </c>
      <c r="B7994" s="78" t="s">
        <v>12612</v>
      </c>
      <c r="C7994" s="94">
        <v>429</v>
      </c>
    </row>
    <row r="7995" spans="1:3" x14ac:dyDescent="0.25">
      <c r="A7995" s="162" t="s">
        <v>12613</v>
      </c>
      <c r="B7995" s="112" t="s">
        <v>12614</v>
      </c>
      <c r="C7995" s="93">
        <v>429</v>
      </c>
    </row>
    <row r="7996" spans="1:3" ht="31.5" x14ac:dyDescent="0.25">
      <c r="A7996" s="163" t="s">
        <v>12615</v>
      </c>
      <c r="B7996" s="78" t="s">
        <v>12616</v>
      </c>
      <c r="C7996" s="94">
        <v>429</v>
      </c>
    </row>
    <row r="7997" spans="1:3" x14ac:dyDescent="0.25">
      <c r="A7997" s="163" t="s">
        <v>12617</v>
      </c>
      <c r="B7997" s="78" t="s">
        <v>12618</v>
      </c>
      <c r="C7997" s="94">
        <v>429</v>
      </c>
    </row>
    <row r="7998" spans="1:3" x14ac:dyDescent="0.25">
      <c r="A7998" s="163" t="s">
        <v>12619</v>
      </c>
      <c r="B7998" s="78" t="s">
        <v>12620</v>
      </c>
      <c r="C7998" s="94">
        <v>429</v>
      </c>
    </row>
    <row r="7999" spans="1:3" x14ac:dyDescent="0.25">
      <c r="A7999" s="163" t="s">
        <v>12621</v>
      </c>
      <c r="B7999" s="78" t="s">
        <v>12622</v>
      </c>
      <c r="C7999" s="94">
        <v>429</v>
      </c>
    </row>
    <row r="8000" spans="1:3" x14ac:dyDescent="0.25">
      <c r="A8000" s="163" t="s">
        <v>12623</v>
      </c>
      <c r="B8000" s="78" t="s">
        <v>12624</v>
      </c>
      <c r="C8000" s="94">
        <v>429</v>
      </c>
    </row>
    <row r="8001" spans="1:3" x14ac:dyDescent="0.25">
      <c r="A8001" s="163" t="s">
        <v>12625</v>
      </c>
      <c r="B8001" s="78" t="s">
        <v>12626</v>
      </c>
      <c r="C8001" s="94">
        <v>429</v>
      </c>
    </row>
    <row r="8002" spans="1:3" x14ac:dyDescent="0.25">
      <c r="A8002" s="163" t="s">
        <v>12627</v>
      </c>
      <c r="B8002" s="78" t="s">
        <v>12628</v>
      </c>
      <c r="C8002" s="94">
        <v>439</v>
      </c>
    </row>
    <row r="8003" spans="1:3" x14ac:dyDescent="0.25">
      <c r="A8003" s="162" t="s">
        <v>12629</v>
      </c>
      <c r="B8003" s="112" t="s">
        <v>12630</v>
      </c>
      <c r="C8003" s="105">
        <v>442</v>
      </c>
    </row>
    <row r="8004" spans="1:3" x14ac:dyDescent="0.25">
      <c r="A8004" s="163" t="s">
        <v>12631</v>
      </c>
      <c r="B8004" s="78" t="s">
        <v>12632</v>
      </c>
      <c r="C8004" s="94">
        <v>446</v>
      </c>
    </row>
    <row r="8005" spans="1:3" x14ac:dyDescent="0.25">
      <c r="A8005" s="162" t="s">
        <v>12633</v>
      </c>
      <c r="B8005" s="112" t="s">
        <v>12634</v>
      </c>
      <c r="C8005" s="93">
        <v>450</v>
      </c>
    </row>
    <row r="8006" spans="1:3" x14ac:dyDescent="0.25">
      <c r="A8006" s="163" t="s">
        <v>12635</v>
      </c>
      <c r="B8006" s="78" t="s">
        <v>12636</v>
      </c>
      <c r="C8006" s="94">
        <v>453</v>
      </c>
    </row>
    <row r="8007" spans="1:3" x14ac:dyDescent="0.25">
      <c r="A8007" s="163" t="s">
        <v>12637</v>
      </c>
      <c r="B8007" s="78" t="s">
        <v>12638</v>
      </c>
      <c r="C8007" s="94">
        <v>455</v>
      </c>
    </row>
    <row r="8008" spans="1:3" x14ac:dyDescent="0.25">
      <c r="A8008" s="163" t="s">
        <v>12639</v>
      </c>
      <c r="B8008" s="78" t="s">
        <v>12640</v>
      </c>
      <c r="C8008" s="94">
        <v>460</v>
      </c>
    </row>
    <row r="8009" spans="1:3" x14ac:dyDescent="0.25">
      <c r="A8009" s="162" t="s">
        <v>12641</v>
      </c>
      <c r="B8009" s="112" t="s">
        <v>12642</v>
      </c>
      <c r="C8009" s="93">
        <v>462</v>
      </c>
    </row>
    <row r="8010" spans="1:3" x14ac:dyDescent="0.25">
      <c r="A8010" s="162" t="s">
        <v>12643</v>
      </c>
      <c r="B8010" s="112" t="s">
        <v>12644</v>
      </c>
      <c r="C8010" s="105">
        <v>464</v>
      </c>
    </row>
    <row r="8011" spans="1:3" x14ac:dyDescent="0.25">
      <c r="A8011" s="162" t="s">
        <v>12645</v>
      </c>
      <c r="B8011" s="112" t="s">
        <v>12646</v>
      </c>
      <c r="C8011" s="105">
        <v>464</v>
      </c>
    </row>
    <row r="8012" spans="1:3" x14ac:dyDescent="0.25">
      <c r="A8012" s="162" t="s">
        <v>12647</v>
      </c>
      <c r="B8012" s="112" t="s">
        <v>12648</v>
      </c>
      <c r="C8012" s="105">
        <v>464</v>
      </c>
    </row>
    <row r="8013" spans="1:3" x14ac:dyDescent="0.25">
      <c r="A8013" s="163" t="s">
        <v>12649</v>
      </c>
      <c r="B8013" s="78" t="s">
        <v>12650</v>
      </c>
      <c r="C8013" s="94">
        <v>475</v>
      </c>
    </row>
    <row r="8014" spans="1:3" x14ac:dyDescent="0.25">
      <c r="A8014" s="118" t="s">
        <v>12651</v>
      </c>
      <c r="B8014" s="78" t="s">
        <v>12652</v>
      </c>
      <c r="C8014" s="94">
        <v>475</v>
      </c>
    </row>
    <row r="8015" spans="1:3" x14ac:dyDescent="0.25">
      <c r="A8015" s="118" t="s">
        <v>12653</v>
      </c>
      <c r="B8015" s="78" t="s">
        <v>12654</v>
      </c>
      <c r="C8015" s="94">
        <v>490</v>
      </c>
    </row>
    <row r="8016" spans="1:3" x14ac:dyDescent="0.25">
      <c r="A8016" s="162" t="s">
        <v>12655</v>
      </c>
      <c r="B8016" s="112" t="s">
        <v>12656</v>
      </c>
      <c r="C8016" s="93">
        <v>495</v>
      </c>
    </row>
    <row r="8017" spans="1:3" x14ac:dyDescent="0.25">
      <c r="A8017" s="162" t="s">
        <v>12657</v>
      </c>
      <c r="B8017" s="112" t="s">
        <v>12658</v>
      </c>
      <c r="C8017" s="93">
        <v>495</v>
      </c>
    </row>
    <row r="8018" spans="1:3" x14ac:dyDescent="0.25">
      <c r="A8018" s="118" t="s">
        <v>12659</v>
      </c>
      <c r="B8018" s="78" t="s">
        <v>12660</v>
      </c>
      <c r="C8018" s="94">
        <v>500</v>
      </c>
    </row>
    <row r="8019" spans="1:3" ht="31.5" x14ac:dyDescent="0.25">
      <c r="A8019" s="162" t="s">
        <v>12661</v>
      </c>
      <c r="B8019" s="117" t="s">
        <v>12662</v>
      </c>
      <c r="C8019" s="104">
        <v>500</v>
      </c>
    </row>
    <row r="8020" spans="1:3" x14ac:dyDescent="0.25">
      <c r="A8020" s="166" t="s">
        <v>12663</v>
      </c>
      <c r="B8020" s="167" t="s">
        <v>12664</v>
      </c>
      <c r="C8020" s="105">
        <v>515</v>
      </c>
    </row>
    <row r="8021" spans="1:3" x14ac:dyDescent="0.25">
      <c r="A8021" s="163" t="s">
        <v>12665</v>
      </c>
      <c r="B8021" s="78" t="s">
        <v>12666</v>
      </c>
      <c r="C8021" s="94">
        <v>515</v>
      </c>
    </row>
    <row r="8022" spans="1:3" x14ac:dyDescent="0.25">
      <c r="A8022" s="163" t="s">
        <v>12667</v>
      </c>
      <c r="B8022" s="78" t="s">
        <v>12668</v>
      </c>
      <c r="C8022" s="94">
        <v>515</v>
      </c>
    </row>
    <row r="8023" spans="1:3" x14ac:dyDescent="0.25">
      <c r="A8023" s="162" t="s">
        <v>12669</v>
      </c>
      <c r="B8023" s="112" t="s">
        <v>12670</v>
      </c>
      <c r="C8023" s="105">
        <v>517</v>
      </c>
    </row>
    <row r="8024" spans="1:3" x14ac:dyDescent="0.25">
      <c r="A8024" s="162" t="s">
        <v>12671</v>
      </c>
      <c r="B8024" s="112" t="s">
        <v>12672</v>
      </c>
      <c r="C8024" s="93">
        <v>519</v>
      </c>
    </row>
    <row r="8025" spans="1:3" x14ac:dyDescent="0.25">
      <c r="A8025" s="162" t="s">
        <v>12673</v>
      </c>
      <c r="B8025" s="112" t="s">
        <v>12674</v>
      </c>
      <c r="C8025" s="93">
        <v>519</v>
      </c>
    </row>
    <row r="8026" spans="1:3" x14ac:dyDescent="0.25">
      <c r="A8026" s="118" t="s">
        <v>12675</v>
      </c>
      <c r="B8026" s="116" t="s">
        <v>12676</v>
      </c>
      <c r="C8026" s="102">
        <v>520</v>
      </c>
    </row>
    <row r="8027" spans="1:3" x14ac:dyDescent="0.25">
      <c r="A8027" s="163" t="s">
        <v>12677</v>
      </c>
      <c r="B8027" s="78" t="s">
        <v>12678</v>
      </c>
      <c r="C8027" s="94">
        <v>520</v>
      </c>
    </row>
    <row r="8028" spans="1:3" x14ac:dyDescent="0.25">
      <c r="A8028" s="163" t="s">
        <v>12679</v>
      </c>
      <c r="B8028" s="78" t="s">
        <v>12680</v>
      </c>
      <c r="C8028" s="94">
        <v>520</v>
      </c>
    </row>
    <row r="8029" spans="1:3" x14ac:dyDescent="0.25">
      <c r="A8029" s="162" t="s">
        <v>12681</v>
      </c>
      <c r="B8029" s="112" t="s">
        <v>12682</v>
      </c>
      <c r="C8029" s="105">
        <v>527</v>
      </c>
    </row>
    <row r="8030" spans="1:3" x14ac:dyDescent="0.25">
      <c r="A8030" s="162" t="s">
        <v>12683</v>
      </c>
      <c r="B8030" s="112" t="s">
        <v>12684</v>
      </c>
      <c r="C8030" s="105">
        <v>529</v>
      </c>
    </row>
    <row r="8031" spans="1:3" x14ac:dyDescent="0.25">
      <c r="A8031" s="162" t="s">
        <v>12685</v>
      </c>
      <c r="B8031" s="112" t="s">
        <v>12686</v>
      </c>
      <c r="C8031" s="105">
        <v>529</v>
      </c>
    </row>
    <row r="8032" spans="1:3" x14ac:dyDescent="0.25">
      <c r="A8032" s="162" t="s">
        <v>12687</v>
      </c>
      <c r="B8032" s="112" t="s">
        <v>12688</v>
      </c>
      <c r="C8032" s="105">
        <v>539</v>
      </c>
    </row>
    <row r="8033" spans="1:3" x14ac:dyDescent="0.25">
      <c r="A8033" s="119" t="s">
        <v>12689</v>
      </c>
      <c r="B8033" s="112" t="s">
        <v>12690</v>
      </c>
      <c r="C8033" s="108">
        <v>543</v>
      </c>
    </row>
    <row r="8034" spans="1:3" x14ac:dyDescent="0.25">
      <c r="A8034" s="162" t="s">
        <v>12691</v>
      </c>
      <c r="B8034" s="112" t="s">
        <v>12692</v>
      </c>
      <c r="C8034" s="105">
        <v>547</v>
      </c>
    </row>
    <row r="8035" spans="1:3" x14ac:dyDescent="0.25">
      <c r="A8035" s="162" t="s">
        <v>12693</v>
      </c>
      <c r="B8035" s="112" t="s">
        <v>12694</v>
      </c>
      <c r="C8035" s="105">
        <v>548</v>
      </c>
    </row>
    <row r="8036" spans="1:3" x14ac:dyDescent="0.25">
      <c r="A8036" s="162" t="s">
        <v>12695</v>
      </c>
      <c r="B8036" s="112" t="s">
        <v>12696</v>
      </c>
      <c r="C8036" s="105">
        <v>549</v>
      </c>
    </row>
    <row r="8037" spans="1:3" ht="31.5" x14ac:dyDescent="0.25">
      <c r="A8037" s="163" t="s">
        <v>12697</v>
      </c>
      <c r="B8037" s="78" t="s">
        <v>15733</v>
      </c>
      <c r="C8037" s="102">
        <v>551</v>
      </c>
    </row>
    <row r="8038" spans="1:3" x14ac:dyDescent="0.25">
      <c r="A8038" s="163" t="s">
        <v>12698</v>
      </c>
      <c r="B8038" s="78" t="s">
        <v>15734</v>
      </c>
      <c r="C8038" s="102">
        <v>551</v>
      </c>
    </row>
    <row r="8039" spans="1:3" x14ac:dyDescent="0.25">
      <c r="A8039" s="163" t="s">
        <v>12699</v>
      </c>
      <c r="B8039" s="78" t="s">
        <v>12700</v>
      </c>
      <c r="C8039" s="94">
        <v>551</v>
      </c>
    </row>
    <row r="8040" spans="1:3" x14ac:dyDescent="0.25">
      <c r="A8040" s="163" t="s">
        <v>12701</v>
      </c>
      <c r="B8040" s="78" t="s">
        <v>12702</v>
      </c>
      <c r="C8040" s="94">
        <v>559</v>
      </c>
    </row>
    <row r="8041" spans="1:3" x14ac:dyDescent="0.25">
      <c r="A8041" s="163" t="s">
        <v>12703</v>
      </c>
      <c r="B8041" s="78" t="s">
        <v>15735</v>
      </c>
      <c r="C8041" s="94">
        <v>565</v>
      </c>
    </row>
    <row r="8042" spans="1:3" x14ac:dyDescent="0.25">
      <c r="A8042" s="163" t="s">
        <v>12704</v>
      </c>
      <c r="B8042" s="78" t="s">
        <v>15736</v>
      </c>
      <c r="C8042" s="94">
        <v>565</v>
      </c>
    </row>
    <row r="8043" spans="1:3" x14ac:dyDescent="0.25">
      <c r="A8043" s="162" t="s">
        <v>12705</v>
      </c>
      <c r="B8043" s="112" t="s">
        <v>12706</v>
      </c>
      <c r="C8043" s="105">
        <v>569</v>
      </c>
    </row>
    <row r="8044" spans="1:3" x14ac:dyDescent="0.25">
      <c r="A8044" s="163" t="s">
        <v>12707</v>
      </c>
      <c r="B8044" s="78" t="s">
        <v>12708</v>
      </c>
      <c r="C8044" s="94">
        <v>572</v>
      </c>
    </row>
    <row r="8045" spans="1:3" x14ac:dyDescent="0.25">
      <c r="A8045" s="163" t="s">
        <v>12709</v>
      </c>
      <c r="B8045" s="78" t="s">
        <v>12710</v>
      </c>
      <c r="C8045" s="94">
        <v>572</v>
      </c>
    </row>
    <row r="8046" spans="1:3" x14ac:dyDescent="0.25">
      <c r="A8046" s="163" t="s">
        <v>12711</v>
      </c>
      <c r="B8046" s="78" t="s">
        <v>12712</v>
      </c>
      <c r="C8046" s="94">
        <v>572</v>
      </c>
    </row>
    <row r="8047" spans="1:3" x14ac:dyDescent="0.25">
      <c r="A8047" s="163" t="s">
        <v>12713</v>
      </c>
      <c r="B8047" s="78" t="s">
        <v>12714</v>
      </c>
      <c r="C8047" s="94">
        <v>572</v>
      </c>
    </row>
    <row r="8048" spans="1:3" x14ac:dyDescent="0.25">
      <c r="A8048" s="163" t="s">
        <v>12715</v>
      </c>
      <c r="B8048" s="78" t="s">
        <v>12716</v>
      </c>
      <c r="C8048" s="101">
        <v>572</v>
      </c>
    </row>
    <row r="8049" spans="1:3" x14ac:dyDescent="0.25">
      <c r="A8049" s="162" t="s">
        <v>12717</v>
      </c>
      <c r="B8049" s="117" t="s">
        <v>12718</v>
      </c>
      <c r="C8049" s="107">
        <v>573</v>
      </c>
    </row>
    <row r="8050" spans="1:3" x14ac:dyDescent="0.25">
      <c r="A8050" s="162" t="s">
        <v>12719</v>
      </c>
      <c r="B8050" s="112" t="s">
        <v>12720</v>
      </c>
      <c r="C8050" s="105">
        <v>575</v>
      </c>
    </row>
    <row r="8051" spans="1:3" x14ac:dyDescent="0.25">
      <c r="A8051" s="171" t="s">
        <v>12721</v>
      </c>
      <c r="B8051" s="117" t="s">
        <v>12722</v>
      </c>
      <c r="C8051" s="107">
        <v>575</v>
      </c>
    </row>
    <row r="8052" spans="1:3" ht="31.5" x14ac:dyDescent="0.25">
      <c r="A8052" s="162" t="s">
        <v>12723</v>
      </c>
      <c r="B8052" s="112" t="s">
        <v>12724</v>
      </c>
      <c r="C8052" s="105">
        <v>578</v>
      </c>
    </row>
    <row r="8053" spans="1:3" x14ac:dyDescent="0.25">
      <c r="A8053" s="162" t="s">
        <v>12725</v>
      </c>
      <c r="B8053" s="112" t="s">
        <v>12726</v>
      </c>
      <c r="C8053" s="105">
        <v>578</v>
      </c>
    </row>
    <row r="8054" spans="1:3" ht="15.75" customHeight="1" x14ac:dyDescent="0.25">
      <c r="A8054" s="163" t="s">
        <v>12727</v>
      </c>
      <c r="B8054" s="78" t="s">
        <v>12728</v>
      </c>
      <c r="C8054" s="94">
        <v>580</v>
      </c>
    </row>
    <row r="8055" spans="1:3" x14ac:dyDescent="0.25">
      <c r="A8055" s="162" t="s">
        <v>12729</v>
      </c>
      <c r="B8055" s="112" t="s">
        <v>12730</v>
      </c>
      <c r="C8055" s="105">
        <v>587</v>
      </c>
    </row>
    <row r="8056" spans="1:3" x14ac:dyDescent="0.25">
      <c r="A8056" s="163" t="s">
        <v>12731</v>
      </c>
      <c r="B8056" s="78" t="s">
        <v>12732</v>
      </c>
      <c r="C8056" s="94">
        <v>589</v>
      </c>
    </row>
    <row r="8057" spans="1:3" x14ac:dyDescent="0.25">
      <c r="A8057" s="118" t="s">
        <v>12733</v>
      </c>
      <c r="B8057" s="78" t="s">
        <v>12734</v>
      </c>
      <c r="C8057" s="102">
        <v>594</v>
      </c>
    </row>
    <row r="8058" spans="1:3" x14ac:dyDescent="0.25">
      <c r="A8058" s="163" t="s">
        <v>12733</v>
      </c>
      <c r="B8058" s="78" t="s">
        <v>12735</v>
      </c>
      <c r="C8058" s="94">
        <v>594</v>
      </c>
    </row>
    <row r="8059" spans="1:3" x14ac:dyDescent="0.25">
      <c r="A8059" s="162" t="s">
        <v>12736</v>
      </c>
      <c r="B8059" s="112" t="s">
        <v>12737</v>
      </c>
      <c r="C8059" s="105">
        <v>601</v>
      </c>
    </row>
    <row r="8060" spans="1:3" x14ac:dyDescent="0.25">
      <c r="A8060" s="162" t="s">
        <v>12738</v>
      </c>
      <c r="B8060" s="112" t="s">
        <v>12739</v>
      </c>
      <c r="C8060" s="105">
        <v>609</v>
      </c>
    </row>
    <row r="8061" spans="1:3" x14ac:dyDescent="0.25">
      <c r="A8061" s="163" t="s">
        <v>12740</v>
      </c>
      <c r="B8061" s="78" t="s">
        <v>15737</v>
      </c>
      <c r="C8061" s="94">
        <v>609</v>
      </c>
    </row>
    <row r="8062" spans="1:3" x14ac:dyDescent="0.25">
      <c r="A8062" s="163" t="s">
        <v>12741</v>
      </c>
      <c r="B8062" s="78" t="s">
        <v>12742</v>
      </c>
      <c r="C8062" s="94">
        <v>611</v>
      </c>
    </row>
    <row r="8063" spans="1:3" x14ac:dyDescent="0.25">
      <c r="A8063" s="163" t="s">
        <v>12743</v>
      </c>
      <c r="B8063" s="78" t="s">
        <v>12744</v>
      </c>
      <c r="C8063" s="94">
        <v>613</v>
      </c>
    </row>
    <row r="8064" spans="1:3" x14ac:dyDescent="0.25">
      <c r="A8064" s="118" t="s">
        <v>12745</v>
      </c>
      <c r="B8064" s="116" t="s">
        <v>12746</v>
      </c>
      <c r="C8064" s="102">
        <v>624</v>
      </c>
    </row>
    <row r="8065" spans="1:3" x14ac:dyDescent="0.25">
      <c r="A8065" s="162" t="s">
        <v>12747</v>
      </c>
      <c r="B8065" s="112" t="s">
        <v>12748</v>
      </c>
      <c r="C8065" s="105">
        <v>626</v>
      </c>
    </row>
    <row r="8066" spans="1:3" x14ac:dyDescent="0.25">
      <c r="A8066" s="171" t="s">
        <v>12749</v>
      </c>
      <c r="B8066" s="120" t="s">
        <v>12750</v>
      </c>
      <c r="C8066" s="107">
        <v>630</v>
      </c>
    </row>
    <row r="8067" spans="1:3" x14ac:dyDescent="0.25">
      <c r="A8067" s="162" t="s">
        <v>12751</v>
      </c>
      <c r="B8067" s="112" t="s">
        <v>12752</v>
      </c>
      <c r="C8067" s="105">
        <v>636</v>
      </c>
    </row>
    <row r="8068" spans="1:3" x14ac:dyDescent="0.25">
      <c r="A8068" s="162" t="s">
        <v>12753</v>
      </c>
      <c r="B8068" s="117" t="s">
        <v>12754</v>
      </c>
      <c r="C8068" s="107">
        <v>640</v>
      </c>
    </row>
    <row r="8069" spans="1:3" x14ac:dyDescent="0.25">
      <c r="A8069" s="162" t="s">
        <v>12755</v>
      </c>
      <c r="B8069" s="117" t="s">
        <v>12756</v>
      </c>
      <c r="C8069" s="107">
        <v>640</v>
      </c>
    </row>
    <row r="8070" spans="1:3" x14ac:dyDescent="0.25">
      <c r="A8070" s="172" t="s">
        <v>12757</v>
      </c>
      <c r="B8070" s="112" t="s">
        <v>12758</v>
      </c>
      <c r="C8070" s="105">
        <v>641</v>
      </c>
    </row>
    <row r="8071" spans="1:3" ht="31.5" x14ac:dyDescent="0.25">
      <c r="A8071" s="163" t="s">
        <v>12759</v>
      </c>
      <c r="B8071" s="78" t="s">
        <v>12760</v>
      </c>
      <c r="C8071" s="94">
        <v>641</v>
      </c>
    </row>
    <row r="8072" spans="1:3" x14ac:dyDescent="0.25">
      <c r="A8072" s="163" t="s">
        <v>12761</v>
      </c>
      <c r="B8072" s="78" t="s">
        <v>12762</v>
      </c>
      <c r="C8072" s="94">
        <v>650</v>
      </c>
    </row>
    <row r="8073" spans="1:3" x14ac:dyDescent="0.25">
      <c r="A8073" s="118" t="s">
        <v>12763</v>
      </c>
      <c r="B8073" s="116" t="s">
        <v>12764</v>
      </c>
      <c r="C8073" s="102">
        <v>661</v>
      </c>
    </row>
    <row r="8074" spans="1:3" x14ac:dyDescent="0.25">
      <c r="A8074" s="162" t="s">
        <v>12765</v>
      </c>
      <c r="B8074" s="112" t="s">
        <v>12766</v>
      </c>
      <c r="C8074" s="105">
        <v>661</v>
      </c>
    </row>
    <row r="8075" spans="1:3" x14ac:dyDescent="0.25">
      <c r="A8075" s="163" t="s">
        <v>12767</v>
      </c>
      <c r="B8075" s="78" t="s">
        <v>12768</v>
      </c>
      <c r="C8075" s="94">
        <v>661</v>
      </c>
    </row>
    <row r="8076" spans="1:3" x14ac:dyDescent="0.25">
      <c r="A8076" s="162" t="s">
        <v>12769</v>
      </c>
      <c r="B8076" s="117" t="s">
        <v>12770</v>
      </c>
      <c r="C8076" s="107">
        <v>664</v>
      </c>
    </row>
    <row r="8077" spans="1:3" x14ac:dyDescent="0.25">
      <c r="A8077" s="163" t="s">
        <v>12771</v>
      </c>
      <c r="B8077" s="78" t="s">
        <v>12772</v>
      </c>
      <c r="C8077" s="94">
        <v>665</v>
      </c>
    </row>
    <row r="8078" spans="1:3" ht="31.5" x14ac:dyDescent="0.25">
      <c r="A8078" s="163" t="s">
        <v>12773</v>
      </c>
      <c r="B8078" s="78" t="s">
        <v>12774</v>
      </c>
      <c r="C8078" s="94">
        <v>669</v>
      </c>
    </row>
    <row r="8079" spans="1:3" x14ac:dyDescent="0.25">
      <c r="A8079" s="166" t="s">
        <v>12775</v>
      </c>
      <c r="B8079" s="167" t="s">
        <v>12776</v>
      </c>
      <c r="C8079" s="105">
        <v>669</v>
      </c>
    </row>
    <row r="8080" spans="1:3" x14ac:dyDescent="0.25">
      <c r="A8080" s="163" t="s">
        <v>12777</v>
      </c>
      <c r="B8080" s="78" t="s">
        <v>12778</v>
      </c>
      <c r="C8080" s="94">
        <v>669</v>
      </c>
    </row>
    <row r="8081" spans="1:3" x14ac:dyDescent="0.25">
      <c r="A8081" s="166" t="s">
        <v>12779</v>
      </c>
      <c r="B8081" s="167" t="s">
        <v>12780</v>
      </c>
      <c r="C8081" s="105">
        <v>675</v>
      </c>
    </row>
    <row r="8082" spans="1:3" x14ac:dyDescent="0.25">
      <c r="A8082" s="163" t="s">
        <v>12781</v>
      </c>
      <c r="B8082" s="78" t="s">
        <v>12782</v>
      </c>
      <c r="C8082" s="94">
        <v>681</v>
      </c>
    </row>
    <row r="8083" spans="1:3" x14ac:dyDescent="0.25">
      <c r="A8083" s="163" t="s">
        <v>12783</v>
      </c>
      <c r="B8083" s="78" t="s">
        <v>12784</v>
      </c>
      <c r="C8083" s="94">
        <v>682</v>
      </c>
    </row>
    <row r="8084" spans="1:3" x14ac:dyDescent="0.25">
      <c r="A8084" s="163" t="s">
        <v>12785</v>
      </c>
      <c r="B8084" s="114" t="s">
        <v>12786</v>
      </c>
      <c r="C8084" s="94">
        <v>700</v>
      </c>
    </row>
    <row r="8085" spans="1:3" x14ac:dyDescent="0.25">
      <c r="A8085" s="163" t="s">
        <v>12787</v>
      </c>
      <c r="B8085" s="78" t="s">
        <v>15738</v>
      </c>
      <c r="C8085" s="94">
        <v>700</v>
      </c>
    </row>
    <row r="8086" spans="1:3" x14ac:dyDescent="0.25">
      <c r="A8086" s="163" t="s">
        <v>12788</v>
      </c>
      <c r="B8086" s="78" t="s">
        <v>12789</v>
      </c>
      <c r="C8086" s="94">
        <v>701</v>
      </c>
    </row>
    <row r="8087" spans="1:3" x14ac:dyDescent="0.25">
      <c r="A8087" s="162" t="s">
        <v>12790</v>
      </c>
      <c r="B8087" s="117" t="s">
        <v>12791</v>
      </c>
      <c r="C8087" s="107">
        <v>702</v>
      </c>
    </row>
    <row r="8088" spans="1:3" x14ac:dyDescent="0.25">
      <c r="A8088" s="171" t="s">
        <v>12792</v>
      </c>
      <c r="B8088" s="120" t="s">
        <v>12793</v>
      </c>
      <c r="C8088" s="107">
        <v>704</v>
      </c>
    </row>
    <row r="8089" spans="1:3" x14ac:dyDescent="0.25">
      <c r="A8089" s="163" t="s">
        <v>12794</v>
      </c>
      <c r="B8089" s="78" t="s">
        <v>12795</v>
      </c>
      <c r="C8089" s="94">
        <v>705</v>
      </c>
    </row>
    <row r="8090" spans="1:3" x14ac:dyDescent="0.25">
      <c r="A8090" s="162" t="s">
        <v>12796</v>
      </c>
      <c r="B8090" s="112" t="s">
        <v>12797</v>
      </c>
      <c r="C8090" s="105">
        <v>708</v>
      </c>
    </row>
    <row r="8091" spans="1:3" x14ac:dyDescent="0.25">
      <c r="A8091" s="118" t="s">
        <v>12798</v>
      </c>
      <c r="B8091" s="116" t="s">
        <v>12799</v>
      </c>
      <c r="C8091" s="102">
        <v>714</v>
      </c>
    </row>
    <row r="8092" spans="1:3" ht="31.5" x14ac:dyDescent="0.25">
      <c r="A8092" s="163" t="s">
        <v>12800</v>
      </c>
      <c r="B8092" s="78" t="s">
        <v>12801</v>
      </c>
      <c r="C8092" s="94">
        <v>721</v>
      </c>
    </row>
    <row r="8093" spans="1:3" x14ac:dyDescent="0.25">
      <c r="A8093" s="163" t="s">
        <v>12802</v>
      </c>
      <c r="B8093" s="78" t="s">
        <v>12803</v>
      </c>
      <c r="C8093" s="94">
        <v>721</v>
      </c>
    </row>
    <row r="8094" spans="1:3" x14ac:dyDescent="0.25">
      <c r="A8094" s="163" t="s">
        <v>12804</v>
      </c>
      <c r="B8094" s="78" t="s">
        <v>12805</v>
      </c>
      <c r="C8094" s="101">
        <v>721</v>
      </c>
    </row>
    <row r="8095" spans="1:3" x14ac:dyDescent="0.25">
      <c r="A8095" s="162" t="s">
        <v>12806</v>
      </c>
      <c r="B8095" s="117" t="s">
        <v>12807</v>
      </c>
      <c r="C8095" s="107">
        <v>723</v>
      </c>
    </row>
    <row r="8096" spans="1:3" x14ac:dyDescent="0.25">
      <c r="A8096" s="164" t="s">
        <v>12808</v>
      </c>
      <c r="B8096" s="173" t="s">
        <v>12809</v>
      </c>
      <c r="C8096" s="94">
        <v>723</v>
      </c>
    </row>
    <row r="8097" spans="1:3" x14ac:dyDescent="0.25">
      <c r="A8097" s="163" t="s">
        <v>12810</v>
      </c>
      <c r="B8097" s="78" t="s">
        <v>12811</v>
      </c>
      <c r="C8097" s="94">
        <v>727</v>
      </c>
    </row>
    <row r="8098" spans="1:3" ht="15.75" customHeight="1" x14ac:dyDescent="0.25">
      <c r="A8098" s="163" t="s">
        <v>12812</v>
      </c>
      <c r="B8098" s="78" t="s">
        <v>12813</v>
      </c>
      <c r="C8098" s="94">
        <v>729</v>
      </c>
    </row>
    <row r="8099" spans="1:3" x14ac:dyDescent="0.25">
      <c r="A8099" s="163" t="s">
        <v>12814</v>
      </c>
      <c r="B8099" s="78" t="s">
        <v>12815</v>
      </c>
      <c r="C8099" s="94">
        <v>729</v>
      </c>
    </row>
    <row r="8100" spans="1:3" x14ac:dyDescent="0.25">
      <c r="A8100" s="171" t="s">
        <v>12816</v>
      </c>
      <c r="B8100" s="120" t="s">
        <v>12817</v>
      </c>
      <c r="C8100" s="107">
        <v>730</v>
      </c>
    </row>
    <row r="8101" spans="1:3" x14ac:dyDescent="0.25">
      <c r="A8101" s="163" t="s">
        <v>12818</v>
      </c>
      <c r="B8101" s="78" t="s">
        <v>15739</v>
      </c>
      <c r="C8101" s="94">
        <v>731</v>
      </c>
    </row>
    <row r="8102" spans="1:3" x14ac:dyDescent="0.25">
      <c r="A8102" s="163" t="s">
        <v>12819</v>
      </c>
      <c r="B8102" s="78" t="s">
        <v>15740</v>
      </c>
      <c r="C8102" s="94">
        <v>731</v>
      </c>
    </row>
    <row r="8103" spans="1:3" x14ac:dyDescent="0.25">
      <c r="A8103" s="163" t="s">
        <v>12820</v>
      </c>
      <c r="B8103" s="78" t="s">
        <v>12821</v>
      </c>
      <c r="C8103" s="94">
        <v>741</v>
      </c>
    </row>
    <row r="8104" spans="1:3" x14ac:dyDescent="0.25">
      <c r="A8104" s="162" t="s">
        <v>12822</v>
      </c>
      <c r="B8104" s="112" t="s">
        <v>12823</v>
      </c>
      <c r="C8104" s="105">
        <v>751</v>
      </c>
    </row>
    <row r="8105" spans="1:3" x14ac:dyDescent="0.25">
      <c r="A8105" s="163" t="s">
        <v>12824</v>
      </c>
      <c r="B8105" s="78" t="s">
        <v>12825</v>
      </c>
      <c r="C8105" s="94">
        <v>754</v>
      </c>
    </row>
    <row r="8106" spans="1:3" x14ac:dyDescent="0.25">
      <c r="A8106" s="171" t="s">
        <v>12826</v>
      </c>
      <c r="B8106" s="120" t="s">
        <v>12827</v>
      </c>
      <c r="C8106" s="107">
        <v>755</v>
      </c>
    </row>
    <row r="8107" spans="1:3" ht="31.5" x14ac:dyDescent="0.25">
      <c r="A8107" s="163" t="s">
        <v>12828</v>
      </c>
      <c r="B8107" s="78" t="s">
        <v>12829</v>
      </c>
      <c r="C8107" s="101">
        <v>767</v>
      </c>
    </row>
    <row r="8108" spans="1:3" x14ac:dyDescent="0.25">
      <c r="A8108" s="163" t="s">
        <v>12830</v>
      </c>
      <c r="B8108" s="78" t="s">
        <v>12831</v>
      </c>
      <c r="C8108" s="101">
        <v>769</v>
      </c>
    </row>
    <row r="8109" spans="1:3" x14ac:dyDescent="0.25">
      <c r="A8109" s="163" t="s">
        <v>12832</v>
      </c>
      <c r="B8109" s="78" t="s">
        <v>12833</v>
      </c>
      <c r="C8109" s="94">
        <v>770</v>
      </c>
    </row>
    <row r="8110" spans="1:3" x14ac:dyDescent="0.25">
      <c r="A8110" s="163" t="s">
        <v>12834</v>
      </c>
      <c r="B8110" s="78" t="s">
        <v>12835</v>
      </c>
      <c r="C8110" s="94">
        <v>770</v>
      </c>
    </row>
    <row r="8111" spans="1:3" ht="31.5" x14ac:dyDescent="0.25">
      <c r="A8111" s="163" t="s">
        <v>12836</v>
      </c>
      <c r="B8111" s="78" t="s">
        <v>15741</v>
      </c>
      <c r="C8111" s="94">
        <v>771</v>
      </c>
    </row>
    <row r="8112" spans="1:3" x14ac:dyDescent="0.25">
      <c r="A8112" s="163" t="s">
        <v>12837</v>
      </c>
      <c r="B8112" s="78" t="s">
        <v>15742</v>
      </c>
      <c r="C8112" s="94">
        <v>771</v>
      </c>
    </row>
    <row r="8113" spans="1:3" ht="31.5" x14ac:dyDescent="0.25">
      <c r="A8113" s="163" t="s">
        <v>12838</v>
      </c>
      <c r="B8113" s="78" t="s">
        <v>15743</v>
      </c>
      <c r="C8113" s="101">
        <v>771</v>
      </c>
    </row>
    <row r="8114" spans="1:3" x14ac:dyDescent="0.25">
      <c r="A8114" s="163" t="s">
        <v>12839</v>
      </c>
      <c r="B8114" s="78" t="s">
        <v>12840</v>
      </c>
      <c r="C8114" s="102">
        <v>772</v>
      </c>
    </row>
    <row r="8115" spans="1:3" x14ac:dyDescent="0.25">
      <c r="A8115" s="163" t="s">
        <v>12841</v>
      </c>
      <c r="B8115" s="78" t="s">
        <v>15744</v>
      </c>
      <c r="C8115" s="94">
        <v>777</v>
      </c>
    </row>
    <row r="8116" spans="1:3" x14ac:dyDescent="0.25">
      <c r="A8116" s="163" t="s">
        <v>12842</v>
      </c>
      <c r="B8116" s="78" t="s">
        <v>12843</v>
      </c>
      <c r="C8116" s="94">
        <v>778</v>
      </c>
    </row>
    <row r="8117" spans="1:3" x14ac:dyDescent="0.25">
      <c r="A8117" s="163" t="s">
        <v>12844</v>
      </c>
      <c r="B8117" s="78" t="s">
        <v>12845</v>
      </c>
      <c r="C8117" s="94">
        <v>778</v>
      </c>
    </row>
    <row r="8118" spans="1:3" x14ac:dyDescent="0.25">
      <c r="A8118" s="163" t="s">
        <v>12846</v>
      </c>
      <c r="B8118" s="78" t="s">
        <v>12847</v>
      </c>
      <c r="C8118" s="94">
        <v>778</v>
      </c>
    </row>
    <row r="8119" spans="1:3" x14ac:dyDescent="0.25">
      <c r="A8119" s="163" t="s">
        <v>12848</v>
      </c>
      <c r="B8119" s="116" t="s">
        <v>12849</v>
      </c>
      <c r="C8119" s="102">
        <v>787</v>
      </c>
    </row>
    <row r="8120" spans="1:3" x14ac:dyDescent="0.25">
      <c r="A8120" s="162" t="s">
        <v>12850</v>
      </c>
      <c r="B8120" s="112" t="s">
        <v>12851</v>
      </c>
      <c r="C8120" s="105">
        <v>789</v>
      </c>
    </row>
    <row r="8121" spans="1:3" x14ac:dyDescent="0.25">
      <c r="A8121" s="163" t="s">
        <v>12852</v>
      </c>
      <c r="B8121" s="116" t="s">
        <v>12853</v>
      </c>
      <c r="C8121" s="102">
        <v>792</v>
      </c>
    </row>
    <row r="8122" spans="1:3" x14ac:dyDescent="0.25">
      <c r="A8122" s="162" t="s">
        <v>12854</v>
      </c>
      <c r="B8122" s="112" t="s">
        <v>12855</v>
      </c>
      <c r="C8122" s="105">
        <v>794</v>
      </c>
    </row>
    <row r="8123" spans="1:3" ht="31.5" x14ac:dyDescent="0.25">
      <c r="A8123" s="163" t="s">
        <v>12856</v>
      </c>
      <c r="B8123" s="78" t="s">
        <v>12857</v>
      </c>
      <c r="C8123" s="94">
        <v>796</v>
      </c>
    </row>
    <row r="8124" spans="1:3" x14ac:dyDescent="0.25">
      <c r="A8124" s="163" t="s">
        <v>12858</v>
      </c>
      <c r="B8124" s="78" t="s">
        <v>15745</v>
      </c>
      <c r="C8124" s="102">
        <v>796</v>
      </c>
    </row>
    <row r="8125" spans="1:3" x14ac:dyDescent="0.25">
      <c r="A8125" s="163" t="s">
        <v>12859</v>
      </c>
      <c r="B8125" s="78" t="s">
        <v>12860</v>
      </c>
      <c r="C8125" s="94">
        <v>796</v>
      </c>
    </row>
    <row r="8126" spans="1:3" x14ac:dyDescent="0.25">
      <c r="A8126" s="163" t="s">
        <v>12861</v>
      </c>
      <c r="B8126" s="78" t="s">
        <v>12862</v>
      </c>
      <c r="C8126" s="94">
        <v>796</v>
      </c>
    </row>
    <row r="8127" spans="1:3" x14ac:dyDescent="0.25">
      <c r="A8127" s="163" t="s">
        <v>12863</v>
      </c>
      <c r="B8127" s="78" t="s">
        <v>12864</v>
      </c>
      <c r="C8127" s="94">
        <v>796</v>
      </c>
    </row>
    <row r="8128" spans="1:3" ht="31.5" x14ac:dyDescent="0.25">
      <c r="A8128" s="163" t="s">
        <v>12865</v>
      </c>
      <c r="B8128" s="78" t="s">
        <v>12866</v>
      </c>
      <c r="C8128" s="94">
        <v>803</v>
      </c>
    </row>
    <row r="8129" spans="1:3" x14ac:dyDescent="0.25">
      <c r="A8129" s="162" t="s">
        <v>12867</v>
      </c>
      <c r="B8129" s="112" t="s">
        <v>12868</v>
      </c>
      <c r="C8129" s="105">
        <v>809</v>
      </c>
    </row>
    <row r="8130" spans="1:3" x14ac:dyDescent="0.25">
      <c r="A8130" s="162" t="s">
        <v>12869</v>
      </c>
      <c r="B8130" s="117" t="s">
        <v>12870</v>
      </c>
      <c r="C8130" s="105">
        <v>809</v>
      </c>
    </row>
    <row r="8131" spans="1:3" x14ac:dyDescent="0.25">
      <c r="A8131" s="163" t="s">
        <v>12871</v>
      </c>
      <c r="B8131" s="78" t="s">
        <v>12872</v>
      </c>
      <c r="C8131" s="102">
        <v>809</v>
      </c>
    </row>
    <row r="8132" spans="1:3" x14ac:dyDescent="0.25">
      <c r="A8132" s="118" t="s">
        <v>12873</v>
      </c>
      <c r="B8132" s="116" t="s">
        <v>12874</v>
      </c>
      <c r="C8132" s="102">
        <v>809</v>
      </c>
    </row>
    <row r="8133" spans="1:3" x14ac:dyDescent="0.25">
      <c r="A8133" s="163" t="s">
        <v>12875</v>
      </c>
      <c r="B8133" s="78" t="s">
        <v>12876</v>
      </c>
      <c r="C8133" s="101">
        <v>812</v>
      </c>
    </row>
    <row r="8134" spans="1:3" x14ac:dyDescent="0.25">
      <c r="A8134" s="162" t="s">
        <v>12877</v>
      </c>
      <c r="B8134" s="112" t="s">
        <v>12878</v>
      </c>
      <c r="C8134" s="105">
        <v>815</v>
      </c>
    </row>
    <row r="8135" spans="1:3" x14ac:dyDescent="0.25">
      <c r="A8135" s="162" t="s">
        <v>12879</v>
      </c>
      <c r="B8135" s="112" t="s">
        <v>12880</v>
      </c>
      <c r="C8135" s="105">
        <v>815</v>
      </c>
    </row>
    <row r="8136" spans="1:3" x14ac:dyDescent="0.25">
      <c r="A8136" s="163" t="s">
        <v>12881</v>
      </c>
      <c r="B8136" s="78" t="s">
        <v>12882</v>
      </c>
      <c r="C8136" s="94">
        <v>817</v>
      </c>
    </row>
    <row r="8137" spans="1:3" x14ac:dyDescent="0.25">
      <c r="A8137" s="163" t="s">
        <v>12883</v>
      </c>
      <c r="B8137" s="78" t="s">
        <v>12884</v>
      </c>
      <c r="C8137" s="94">
        <v>820</v>
      </c>
    </row>
    <row r="8138" spans="1:3" x14ac:dyDescent="0.25">
      <c r="A8138" s="163" t="s">
        <v>12885</v>
      </c>
      <c r="B8138" s="78" t="s">
        <v>12886</v>
      </c>
      <c r="C8138" s="94">
        <v>820</v>
      </c>
    </row>
    <row r="8139" spans="1:3" x14ac:dyDescent="0.25">
      <c r="A8139" s="163" t="s">
        <v>12887</v>
      </c>
      <c r="B8139" s="116" t="s">
        <v>12888</v>
      </c>
      <c r="C8139" s="94">
        <v>824</v>
      </c>
    </row>
    <row r="8140" spans="1:3" x14ac:dyDescent="0.25">
      <c r="A8140" s="163" t="s">
        <v>12889</v>
      </c>
      <c r="B8140" s="116" t="s">
        <v>12890</v>
      </c>
      <c r="C8140" s="102">
        <v>825</v>
      </c>
    </row>
    <row r="8141" spans="1:3" x14ac:dyDescent="0.25">
      <c r="A8141" s="162" t="s">
        <v>12891</v>
      </c>
      <c r="B8141" s="112" t="s">
        <v>12892</v>
      </c>
      <c r="C8141" s="105">
        <v>827</v>
      </c>
    </row>
    <row r="8142" spans="1:3" x14ac:dyDescent="0.25">
      <c r="A8142" s="163" t="s">
        <v>12893</v>
      </c>
      <c r="B8142" s="78" t="s">
        <v>15746</v>
      </c>
      <c r="C8142" s="94">
        <v>828</v>
      </c>
    </row>
    <row r="8143" spans="1:3" x14ac:dyDescent="0.25">
      <c r="A8143" s="162" t="s">
        <v>12894</v>
      </c>
      <c r="B8143" s="117" t="s">
        <v>12895</v>
      </c>
      <c r="C8143" s="107">
        <v>836</v>
      </c>
    </row>
    <row r="8144" spans="1:3" x14ac:dyDescent="0.25">
      <c r="A8144" s="162" t="s">
        <v>12896</v>
      </c>
      <c r="B8144" s="117" t="s">
        <v>12897</v>
      </c>
      <c r="C8144" s="107">
        <v>836</v>
      </c>
    </row>
    <row r="8145" spans="1:3" x14ac:dyDescent="0.25">
      <c r="A8145" s="163" t="s">
        <v>12898</v>
      </c>
      <c r="B8145" s="78" t="s">
        <v>12899</v>
      </c>
      <c r="C8145" s="94">
        <v>837</v>
      </c>
    </row>
    <row r="8146" spans="1:3" x14ac:dyDescent="0.25">
      <c r="A8146" s="162" t="s">
        <v>12900</v>
      </c>
      <c r="B8146" s="112" t="s">
        <v>12901</v>
      </c>
      <c r="C8146" s="105">
        <v>838</v>
      </c>
    </row>
    <row r="8147" spans="1:3" x14ac:dyDescent="0.25">
      <c r="A8147" s="162" t="s">
        <v>12902</v>
      </c>
      <c r="B8147" s="112" t="s">
        <v>15747</v>
      </c>
      <c r="C8147" s="105">
        <v>838</v>
      </c>
    </row>
    <row r="8148" spans="1:3" x14ac:dyDescent="0.25">
      <c r="A8148" s="163" t="s">
        <v>12903</v>
      </c>
      <c r="B8148" s="78" t="s">
        <v>15748</v>
      </c>
      <c r="C8148" s="94">
        <v>839</v>
      </c>
    </row>
    <row r="8149" spans="1:3" x14ac:dyDescent="0.25">
      <c r="A8149" s="162" t="s">
        <v>12904</v>
      </c>
      <c r="B8149" s="112" t="s">
        <v>12905</v>
      </c>
      <c r="C8149" s="105">
        <v>840</v>
      </c>
    </row>
    <row r="8150" spans="1:3" x14ac:dyDescent="0.25">
      <c r="A8150" s="162" t="s">
        <v>12906</v>
      </c>
      <c r="B8150" s="112" t="s">
        <v>12907</v>
      </c>
      <c r="C8150" s="105">
        <v>840</v>
      </c>
    </row>
    <row r="8151" spans="1:3" x14ac:dyDescent="0.25">
      <c r="A8151" s="163" t="s">
        <v>12908</v>
      </c>
      <c r="B8151" s="78" t="s">
        <v>12909</v>
      </c>
      <c r="C8151" s="101">
        <v>849</v>
      </c>
    </row>
    <row r="8152" spans="1:3" x14ac:dyDescent="0.25">
      <c r="A8152" s="163" t="s">
        <v>12910</v>
      </c>
      <c r="B8152" s="78" t="s">
        <v>12911</v>
      </c>
      <c r="C8152" s="94">
        <v>850</v>
      </c>
    </row>
    <row r="8153" spans="1:3" x14ac:dyDescent="0.25">
      <c r="A8153" s="163" t="s">
        <v>12912</v>
      </c>
      <c r="B8153" s="78" t="s">
        <v>12913</v>
      </c>
      <c r="C8153" s="94">
        <v>850</v>
      </c>
    </row>
    <row r="8154" spans="1:3" x14ac:dyDescent="0.25">
      <c r="A8154" s="163" t="s">
        <v>12914</v>
      </c>
      <c r="B8154" s="78" t="s">
        <v>12915</v>
      </c>
      <c r="C8154" s="94">
        <v>850</v>
      </c>
    </row>
    <row r="8155" spans="1:3" x14ac:dyDescent="0.25">
      <c r="A8155" s="163" t="s">
        <v>12916</v>
      </c>
      <c r="B8155" s="78" t="s">
        <v>12917</v>
      </c>
      <c r="C8155" s="94">
        <v>850</v>
      </c>
    </row>
    <row r="8156" spans="1:3" ht="31.5" x14ac:dyDescent="0.25">
      <c r="A8156" s="163" t="s">
        <v>12918</v>
      </c>
      <c r="B8156" s="78" t="s">
        <v>12919</v>
      </c>
      <c r="C8156" s="94">
        <v>851</v>
      </c>
    </row>
    <row r="8157" spans="1:3" x14ac:dyDescent="0.25">
      <c r="A8157" s="163" t="s">
        <v>12920</v>
      </c>
      <c r="B8157" s="78" t="s">
        <v>12921</v>
      </c>
      <c r="C8157" s="94">
        <v>851</v>
      </c>
    </row>
    <row r="8158" spans="1:3" x14ac:dyDescent="0.25">
      <c r="A8158" s="163" t="s">
        <v>12922</v>
      </c>
      <c r="B8158" s="78" t="s">
        <v>12923</v>
      </c>
      <c r="C8158" s="102">
        <v>853</v>
      </c>
    </row>
    <row r="8159" spans="1:3" x14ac:dyDescent="0.25">
      <c r="A8159" s="162" t="s">
        <v>12924</v>
      </c>
      <c r="B8159" s="117" t="s">
        <v>12925</v>
      </c>
      <c r="C8159" s="107">
        <v>855</v>
      </c>
    </row>
    <row r="8160" spans="1:3" x14ac:dyDescent="0.25">
      <c r="A8160" s="163" t="s">
        <v>12926</v>
      </c>
      <c r="B8160" s="78" t="s">
        <v>12927</v>
      </c>
      <c r="C8160" s="94">
        <v>855</v>
      </c>
    </row>
    <row r="8161" spans="1:3" x14ac:dyDescent="0.25">
      <c r="A8161" s="118" t="s">
        <v>12928</v>
      </c>
      <c r="B8161" s="116" t="s">
        <v>12929</v>
      </c>
      <c r="C8161" s="102">
        <v>858</v>
      </c>
    </row>
    <row r="8162" spans="1:3" x14ac:dyDescent="0.25">
      <c r="A8162" s="163" t="s">
        <v>12930</v>
      </c>
      <c r="B8162" s="78" t="s">
        <v>12931</v>
      </c>
      <c r="C8162" s="94">
        <v>858</v>
      </c>
    </row>
    <row r="8163" spans="1:3" x14ac:dyDescent="0.25">
      <c r="A8163" s="163" t="s">
        <v>12932</v>
      </c>
      <c r="B8163" s="78" t="s">
        <v>12933</v>
      </c>
      <c r="C8163" s="94">
        <v>863</v>
      </c>
    </row>
    <row r="8164" spans="1:3" x14ac:dyDescent="0.25">
      <c r="A8164" s="162" t="s">
        <v>12934</v>
      </c>
      <c r="B8164" s="117" t="s">
        <v>12935</v>
      </c>
      <c r="C8164" s="107">
        <v>868</v>
      </c>
    </row>
    <row r="8165" spans="1:3" ht="31.5" x14ac:dyDescent="0.25">
      <c r="A8165" s="172" t="s">
        <v>12936</v>
      </c>
      <c r="B8165" s="112" t="s">
        <v>15749</v>
      </c>
      <c r="C8165" s="105">
        <v>869</v>
      </c>
    </row>
    <row r="8166" spans="1:3" x14ac:dyDescent="0.25">
      <c r="A8166" s="163" t="s">
        <v>12937</v>
      </c>
      <c r="B8166" s="78" t="s">
        <v>12938</v>
      </c>
      <c r="C8166" s="94">
        <v>870</v>
      </c>
    </row>
    <row r="8167" spans="1:3" x14ac:dyDescent="0.25">
      <c r="A8167" s="163" t="s">
        <v>12939</v>
      </c>
      <c r="B8167" s="78" t="s">
        <v>12940</v>
      </c>
      <c r="C8167" s="94">
        <v>870</v>
      </c>
    </row>
    <row r="8168" spans="1:3" x14ac:dyDescent="0.25">
      <c r="A8168" s="163" t="s">
        <v>12941</v>
      </c>
      <c r="B8168" s="78" t="s">
        <v>12942</v>
      </c>
      <c r="C8168" s="94">
        <v>870</v>
      </c>
    </row>
    <row r="8169" spans="1:3" x14ac:dyDescent="0.25">
      <c r="A8169" s="163" t="s">
        <v>12943</v>
      </c>
      <c r="B8169" s="78" t="s">
        <v>15750</v>
      </c>
      <c r="C8169" s="94">
        <v>870</v>
      </c>
    </row>
    <row r="8170" spans="1:3" x14ac:dyDescent="0.25">
      <c r="A8170" s="163" t="s">
        <v>12944</v>
      </c>
      <c r="B8170" s="78" t="s">
        <v>12945</v>
      </c>
      <c r="C8170" s="94">
        <v>870</v>
      </c>
    </row>
    <row r="8171" spans="1:3" x14ac:dyDescent="0.25">
      <c r="A8171" s="162" t="s">
        <v>12946</v>
      </c>
      <c r="B8171" s="112" t="s">
        <v>12947</v>
      </c>
      <c r="C8171" s="105">
        <v>873</v>
      </c>
    </row>
    <row r="8172" spans="1:3" ht="15.75" customHeight="1" x14ac:dyDescent="0.25">
      <c r="A8172" s="162" t="s">
        <v>12948</v>
      </c>
      <c r="B8172" s="117" t="s">
        <v>12949</v>
      </c>
      <c r="C8172" s="107">
        <v>876</v>
      </c>
    </row>
    <row r="8173" spans="1:3" x14ac:dyDescent="0.25">
      <c r="A8173" s="162" t="s">
        <v>12950</v>
      </c>
      <c r="B8173" s="117" t="s">
        <v>12951</v>
      </c>
      <c r="C8173" s="107">
        <v>876</v>
      </c>
    </row>
    <row r="8174" spans="1:3" x14ac:dyDescent="0.25">
      <c r="A8174" s="164" t="s">
        <v>12952</v>
      </c>
      <c r="B8174" s="173" t="s">
        <v>12953</v>
      </c>
      <c r="C8174" s="101">
        <v>876</v>
      </c>
    </row>
    <row r="8175" spans="1:3" x14ac:dyDescent="0.25">
      <c r="A8175" s="163" t="s">
        <v>12954</v>
      </c>
      <c r="B8175" s="78" t="s">
        <v>12955</v>
      </c>
      <c r="C8175" s="94">
        <v>877</v>
      </c>
    </row>
    <row r="8176" spans="1:3" x14ac:dyDescent="0.25">
      <c r="A8176" s="163" t="s">
        <v>12956</v>
      </c>
      <c r="B8176" s="78" t="s">
        <v>12957</v>
      </c>
      <c r="C8176" s="101">
        <v>877</v>
      </c>
    </row>
    <row r="8177" spans="1:3" x14ac:dyDescent="0.25">
      <c r="A8177" s="162" t="s">
        <v>12958</v>
      </c>
      <c r="B8177" s="112" t="s">
        <v>12959</v>
      </c>
      <c r="C8177" s="105">
        <v>881</v>
      </c>
    </row>
    <row r="8178" spans="1:3" x14ac:dyDescent="0.25">
      <c r="A8178" s="163" t="s">
        <v>12960</v>
      </c>
      <c r="B8178" s="78" t="s">
        <v>12961</v>
      </c>
      <c r="C8178" s="94">
        <v>887</v>
      </c>
    </row>
    <row r="8179" spans="1:3" x14ac:dyDescent="0.25">
      <c r="A8179" s="162" t="s">
        <v>12962</v>
      </c>
      <c r="B8179" s="112" t="s">
        <v>12963</v>
      </c>
      <c r="C8179" s="105">
        <v>893</v>
      </c>
    </row>
    <row r="8180" spans="1:3" x14ac:dyDescent="0.25">
      <c r="A8180" s="162" t="s">
        <v>12964</v>
      </c>
      <c r="B8180" s="112" t="s">
        <v>15751</v>
      </c>
      <c r="C8180" s="105">
        <v>893</v>
      </c>
    </row>
    <row r="8181" spans="1:3" x14ac:dyDescent="0.25">
      <c r="A8181" s="162" t="s">
        <v>12965</v>
      </c>
      <c r="B8181" s="112" t="s">
        <v>12966</v>
      </c>
      <c r="C8181" s="105">
        <v>894</v>
      </c>
    </row>
    <row r="8182" spans="1:3" ht="31.5" x14ac:dyDescent="0.25">
      <c r="A8182" s="163" t="s">
        <v>12967</v>
      </c>
      <c r="B8182" s="78" t="s">
        <v>15752</v>
      </c>
      <c r="C8182" s="101">
        <v>899</v>
      </c>
    </row>
    <row r="8183" spans="1:3" x14ac:dyDescent="0.25">
      <c r="A8183" s="163" t="s">
        <v>12968</v>
      </c>
      <c r="B8183" s="78" t="s">
        <v>12969</v>
      </c>
      <c r="C8183" s="94">
        <v>900</v>
      </c>
    </row>
    <row r="8184" spans="1:3" x14ac:dyDescent="0.25">
      <c r="A8184" s="163" t="s">
        <v>12970</v>
      </c>
      <c r="B8184" s="78" t="s">
        <v>12971</v>
      </c>
      <c r="C8184" s="94">
        <v>900</v>
      </c>
    </row>
    <row r="8185" spans="1:3" x14ac:dyDescent="0.25">
      <c r="A8185" s="163" t="s">
        <v>12972</v>
      </c>
      <c r="B8185" s="78" t="s">
        <v>12973</v>
      </c>
      <c r="C8185" s="94">
        <v>900</v>
      </c>
    </row>
    <row r="8186" spans="1:3" x14ac:dyDescent="0.25">
      <c r="A8186" s="163" t="s">
        <v>12974</v>
      </c>
      <c r="B8186" s="78" t="s">
        <v>12975</v>
      </c>
      <c r="C8186" s="94">
        <v>900</v>
      </c>
    </row>
    <row r="8187" spans="1:3" x14ac:dyDescent="0.25">
      <c r="A8187" s="163" t="s">
        <v>12976</v>
      </c>
      <c r="B8187" s="78" t="s">
        <v>12977</v>
      </c>
      <c r="C8187" s="94">
        <v>900</v>
      </c>
    </row>
    <row r="8188" spans="1:3" x14ac:dyDescent="0.25">
      <c r="A8188" s="163" t="s">
        <v>12978</v>
      </c>
      <c r="B8188" s="78" t="s">
        <v>12979</v>
      </c>
      <c r="C8188" s="94">
        <v>900</v>
      </c>
    </row>
    <row r="8189" spans="1:3" x14ac:dyDescent="0.25">
      <c r="A8189" s="163" t="s">
        <v>12980</v>
      </c>
      <c r="B8189" s="78" t="s">
        <v>12981</v>
      </c>
      <c r="C8189" s="94">
        <v>900</v>
      </c>
    </row>
    <row r="8190" spans="1:3" x14ac:dyDescent="0.25">
      <c r="A8190" s="163" t="s">
        <v>12982</v>
      </c>
      <c r="B8190" s="78" t="s">
        <v>12983</v>
      </c>
      <c r="C8190" s="94">
        <v>900</v>
      </c>
    </row>
    <row r="8191" spans="1:3" x14ac:dyDescent="0.25">
      <c r="A8191" s="163" t="s">
        <v>12984</v>
      </c>
      <c r="B8191" s="78" t="s">
        <v>12985</v>
      </c>
      <c r="C8191" s="94">
        <v>900</v>
      </c>
    </row>
    <row r="8192" spans="1:3" x14ac:dyDescent="0.25">
      <c r="A8192" s="163" t="s">
        <v>12986</v>
      </c>
      <c r="B8192" s="78" t="s">
        <v>12987</v>
      </c>
      <c r="C8192" s="94">
        <v>900</v>
      </c>
    </row>
    <row r="8193" spans="1:3" ht="31.5" x14ac:dyDescent="0.25">
      <c r="A8193" s="163" t="s">
        <v>12988</v>
      </c>
      <c r="B8193" s="78" t="s">
        <v>15753</v>
      </c>
      <c r="C8193" s="94">
        <v>901</v>
      </c>
    </row>
    <row r="8194" spans="1:3" x14ac:dyDescent="0.25">
      <c r="A8194" s="163" t="s">
        <v>12989</v>
      </c>
      <c r="B8194" s="78" t="s">
        <v>15754</v>
      </c>
      <c r="C8194" s="94">
        <v>901</v>
      </c>
    </row>
    <row r="8195" spans="1:3" x14ac:dyDescent="0.25">
      <c r="A8195" s="162" t="s">
        <v>12990</v>
      </c>
      <c r="B8195" s="112" t="s">
        <v>12991</v>
      </c>
      <c r="C8195" s="105">
        <v>908</v>
      </c>
    </row>
    <row r="8196" spans="1:3" ht="15.75" customHeight="1" x14ac:dyDescent="0.25">
      <c r="A8196" s="162" t="s">
        <v>12992</v>
      </c>
      <c r="B8196" s="117" t="s">
        <v>12993</v>
      </c>
      <c r="C8196" s="107">
        <v>910</v>
      </c>
    </row>
    <row r="8197" spans="1:3" x14ac:dyDescent="0.25">
      <c r="A8197" s="163" t="s">
        <v>12994</v>
      </c>
      <c r="B8197" s="78" t="s">
        <v>12995</v>
      </c>
      <c r="C8197" s="94">
        <v>911</v>
      </c>
    </row>
    <row r="8198" spans="1:3" x14ac:dyDescent="0.25">
      <c r="A8198" s="163" t="s">
        <v>12996</v>
      </c>
      <c r="B8198" s="78" t="s">
        <v>15755</v>
      </c>
      <c r="C8198" s="94">
        <v>913</v>
      </c>
    </row>
    <row r="8199" spans="1:3" x14ac:dyDescent="0.25">
      <c r="A8199" s="45" t="s">
        <v>12997</v>
      </c>
      <c r="B8199" s="26" t="s">
        <v>12998</v>
      </c>
      <c r="C8199" s="105">
        <v>920</v>
      </c>
    </row>
    <row r="8200" spans="1:3" x14ac:dyDescent="0.25">
      <c r="A8200" s="162" t="s">
        <v>12999</v>
      </c>
      <c r="B8200" s="112" t="s">
        <v>13000</v>
      </c>
      <c r="C8200" s="105">
        <v>920</v>
      </c>
    </row>
    <row r="8201" spans="1:3" x14ac:dyDescent="0.25">
      <c r="A8201" s="163" t="s">
        <v>13001</v>
      </c>
      <c r="B8201" s="78" t="s">
        <v>13002</v>
      </c>
      <c r="C8201" s="102">
        <v>920</v>
      </c>
    </row>
    <row r="8202" spans="1:3" ht="31.5" x14ac:dyDescent="0.25">
      <c r="A8202" s="163" t="s">
        <v>13003</v>
      </c>
      <c r="B8202" s="78" t="s">
        <v>15756</v>
      </c>
      <c r="C8202" s="94">
        <v>927</v>
      </c>
    </row>
    <row r="8203" spans="1:3" x14ac:dyDescent="0.25">
      <c r="A8203" s="163" t="s">
        <v>13004</v>
      </c>
      <c r="B8203" s="78" t="s">
        <v>13005</v>
      </c>
      <c r="C8203" s="94">
        <v>927</v>
      </c>
    </row>
    <row r="8204" spans="1:3" x14ac:dyDescent="0.25">
      <c r="A8204" s="162" t="s">
        <v>13006</v>
      </c>
      <c r="B8204" s="112" t="s">
        <v>13007</v>
      </c>
      <c r="C8204" s="105">
        <v>946</v>
      </c>
    </row>
    <row r="8205" spans="1:3" ht="31.5" x14ac:dyDescent="0.25">
      <c r="A8205" s="162" t="s">
        <v>13008</v>
      </c>
      <c r="B8205" s="117" t="s">
        <v>13009</v>
      </c>
      <c r="C8205" s="107">
        <v>950</v>
      </c>
    </row>
    <row r="8206" spans="1:3" ht="31.5" x14ac:dyDescent="0.25">
      <c r="A8206" s="163" t="s">
        <v>13010</v>
      </c>
      <c r="B8206" s="78" t="s">
        <v>15757</v>
      </c>
      <c r="C8206" s="102">
        <v>950</v>
      </c>
    </row>
    <row r="8207" spans="1:3" ht="31.5" x14ac:dyDescent="0.25">
      <c r="A8207" s="118" t="s">
        <v>13011</v>
      </c>
      <c r="B8207" s="78" t="s">
        <v>15758</v>
      </c>
      <c r="C8207" s="102">
        <v>950</v>
      </c>
    </row>
    <row r="8208" spans="1:3" x14ac:dyDescent="0.25">
      <c r="A8208" s="162" t="s">
        <v>13012</v>
      </c>
      <c r="B8208" s="112" t="s">
        <v>13013</v>
      </c>
      <c r="C8208" s="105">
        <v>960</v>
      </c>
    </row>
    <row r="8209" spans="1:3" x14ac:dyDescent="0.25">
      <c r="A8209" s="162" t="s">
        <v>13014</v>
      </c>
      <c r="B8209" s="112" t="s">
        <v>13015</v>
      </c>
      <c r="C8209" s="105">
        <v>974</v>
      </c>
    </row>
    <row r="8210" spans="1:3" ht="31.5" x14ac:dyDescent="0.25">
      <c r="A8210" s="163" t="s">
        <v>13016</v>
      </c>
      <c r="B8210" s="78" t="s">
        <v>13017</v>
      </c>
      <c r="C8210" s="94">
        <v>990</v>
      </c>
    </row>
    <row r="8211" spans="1:3" x14ac:dyDescent="0.25">
      <c r="A8211" s="163" t="s">
        <v>13018</v>
      </c>
      <c r="B8211" s="78" t="s">
        <v>13019</v>
      </c>
      <c r="C8211" s="94">
        <v>990</v>
      </c>
    </row>
    <row r="8212" spans="1:3" ht="31.5" x14ac:dyDescent="0.25">
      <c r="A8212" s="163" t="s">
        <v>13020</v>
      </c>
      <c r="B8212" s="78" t="s">
        <v>13021</v>
      </c>
      <c r="C8212" s="94">
        <v>998</v>
      </c>
    </row>
    <row r="8213" spans="1:3" x14ac:dyDescent="0.25">
      <c r="A8213" s="118" t="s">
        <v>13022</v>
      </c>
      <c r="B8213" s="116" t="s">
        <v>13023</v>
      </c>
      <c r="C8213" s="102">
        <v>1000</v>
      </c>
    </row>
    <row r="8214" spans="1:3" x14ac:dyDescent="0.25">
      <c r="A8214" s="118" t="s">
        <v>15759</v>
      </c>
      <c r="B8214" s="116" t="s">
        <v>13024</v>
      </c>
      <c r="C8214" s="102">
        <v>1000</v>
      </c>
    </row>
    <row r="8215" spans="1:3" x14ac:dyDescent="0.25">
      <c r="A8215" s="118" t="s">
        <v>13025</v>
      </c>
      <c r="B8215" s="116" t="s">
        <v>13026</v>
      </c>
      <c r="C8215" s="102">
        <v>1000</v>
      </c>
    </row>
    <row r="8216" spans="1:3" x14ac:dyDescent="0.25">
      <c r="A8216" s="118" t="s">
        <v>13027</v>
      </c>
      <c r="B8216" s="116" t="s">
        <v>13028</v>
      </c>
      <c r="C8216" s="102">
        <v>1000</v>
      </c>
    </row>
    <row r="8217" spans="1:3" x14ac:dyDescent="0.25">
      <c r="A8217" s="118" t="s">
        <v>13029</v>
      </c>
      <c r="B8217" s="116" t="s">
        <v>13030</v>
      </c>
      <c r="C8217" s="102">
        <v>1000</v>
      </c>
    </row>
    <row r="8218" spans="1:3" ht="47.25" x14ac:dyDescent="0.25">
      <c r="A8218" s="118" t="s">
        <v>13031</v>
      </c>
      <c r="B8218" s="78" t="s">
        <v>15760</v>
      </c>
      <c r="C8218" s="102">
        <v>1000</v>
      </c>
    </row>
    <row r="8219" spans="1:3" x14ac:dyDescent="0.25">
      <c r="A8219" s="174" t="s">
        <v>13032</v>
      </c>
      <c r="B8219" s="121" t="s">
        <v>13033</v>
      </c>
      <c r="C8219" s="105">
        <v>1001</v>
      </c>
    </row>
    <row r="8220" spans="1:3" x14ac:dyDescent="0.25">
      <c r="A8220" s="118" t="s">
        <v>13034</v>
      </c>
      <c r="B8220" s="116" t="s">
        <v>13035</v>
      </c>
      <c r="C8220" s="102">
        <v>1001</v>
      </c>
    </row>
    <row r="8221" spans="1:3" x14ac:dyDescent="0.25">
      <c r="A8221" s="118" t="s">
        <v>13036</v>
      </c>
      <c r="B8221" s="116" t="s">
        <v>13037</v>
      </c>
      <c r="C8221" s="102">
        <v>1001</v>
      </c>
    </row>
    <row r="8222" spans="1:3" x14ac:dyDescent="0.25">
      <c r="A8222" s="118" t="s">
        <v>13038</v>
      </c>
      <c r="B8222" s="116" t="s">
        <v>13039</v>
      </c>
      <c r="C8222" s="102">
        <v>1001</v>
      </c>
    </row>
    <row r="8223" spans="1:3" x14ac:dyDescent="0.25">
      <c r="A8223" s="162" t="s">
        <v>13040</v>
      </c>
      <c r="B8223" s="117" t="s">
        <v>13041</v>
      </c>
      <c r="C8223" s="107">
        <v>1009</v>
      </c>
    </row>
    <row r="8224" spans="1:3" x14ac:dyDescent="0.25">
      <c r="A8224" s="163" t="s">
        <v>13042</v>
      </c>
      <c r="B8224" s="78" t="s">
        <v>13043</v>
      </c>
      <c r="C8224" s="94">
        <v>1009</v>
      </c>
    </row>
    <row r="8225" spans="1:3" x14ac:dyDescent="0.25">
      <c r="A8225" s="163" t="s">
        <v>13044</v>
      </c>
      <c r="B8225" s="78" t="s">
        <v>13045</v>
      </c>
      <c r="C8225" s="94">
        <v>1009</v>
      </c>
    </row>
    <row r="8226" spans="1:3" x14ac:dyDescent="0.25">
      <c r="A8226" s="163" t="s">
        <v>13046</v>
      </c>
      <c r="B8226" s="78" t="s">
        <v>13047</v>
      </c>
      <c r="C8226" s="101">
        <v>1012</v>
      </c>
    </row>
    <row r="8227" spans="1:3" x14ac:dyDescent="0.25">
      <c r="A8227" s="163" t="s">
        <v>13048</v>
      </c>
      <c r="B8227" s="78" t="s">
        <v>13049</v>
      </c>
      <c r="C8227" s="94">
        <v>1042</v>
      </c>
    </row>
    <row r="8228" spans="1:3" ht="31.5" x14ac:dyDescent="0.25">
      <c r="A8228" s="163" t="s">
        <v>13050</v>
      </c>
      <c r="B8228" s="78" t="s">
        <v>13051</v>
      </c>
      <c r="C8228" s="94">
        <v>1042</v>
      </c>
    </row>
    <row r="8229" spans="1:3" ht="31.5" x14ac:dyDescent="0.25">
      <c r="A8229" s="163" t="s">
        <v>13052</v>
      </c>
      <c r="B8229" s="78" t="s">
        <v>13053</v>
      </c>
      <c r="C8229" s="94">
        <v>1042</v>
      </c>
    </row>
    <row r="8230" spans="1:3" ht="31.5" x14ac:dyDescent="0.25">
      <c r="A8230" s="162" t="s">
        <v>13054</v>
      </c>
      <c r="B8230" s="117" t="s">
        <v>13055</v>
      </c>
      <c r="C8230" s="107">
        <v>1050</v>
      </c>
    </row>
    <row r="8231" spans="1:3" x14ac:dyDescent="0.25">
      <c r="A8231" s="162" t="s">
        <v>13056</v>
      </c>
      <c r="B8231" s="112" t="s">
        <v>13057</v>
      </c>
      <c r="C8231" s="105">
        <v>1059</v>
      </c>
    </row>
    <row r="8232" spans="1:3" ht="31.5" x14ac:dyDescent="0.25">
      <c r="A8232" s="163" t="s">
        <v>13058</v>
      </c>
      <c r="B8232" s="78" t="s">
        <v>15761</v>
      </c>
      <c r="C8232" s="94">
        <v>1059</v>
      </c>
    </row>
    <row r="8233" spans="1:3" ht="31.5" x14ac:dyDescent="0.25">
      <c r="A8233" s="172" t="s">
        <v>13059</v>
      </c>
      <c r="B8233" s="112" t="s">
        <v>13060</v>
      </c>
      <c r="C8233" s="105">
        <v>1060</v>
      </c>
    </row>
    <row r="8234" spans="1:3" x14ac:dyDescent="0.25">
      <c r="A8234" s="163" t="s">
        <v>13061</v>
      </c>
      <c r="B8234" s="78" t="s">
        <v>13062</v>
      </c>
      <c r="C8234" s="94">
        <v>1060</v>
      </c>
    </row>
    <row r="8235" spans="1:3" x14ac:dyDescent="0.25">
      <c r="A8235" s="163" t="s">
        <v>13063</v>
      </c>
      <c r="B8235" s="78" t="s">
        <v>13064</v>
      </c>
      <c r="C8235" s="94">
        <v>1060</v>
      </c>
    </row>
    <row r="8236" spans="1:3" x14ac:dyDescent="0.25">
      <c r="A8236" s="163" t="s">
        <v>13065</v>
      </c>
      <c r="B8236" s="78" t="s">
        <v>13066</v>
      </c>
      <c r="C8236" s="94">
        <v>1060</v>
      </c>
    </row>
    <row r="8237" spans="1:3" x14ac:dyDescent="0.25">
      <c r="A8237" s="163" t="s">
        <v>13067</v>
      </c>
      <c r="B8237" s="78" t="s">
        <v>13068</v>
      </c>
      <c r="C8237" s="94">
        <v>1060</v>
      </c>
    </row>
    <row r="8238" spans="1:3" x14ac:dyDescent="0.25">
      <c r="A8238" s="163" t="s">
        <v>13069</v>
      </c>
      <c r="B8238" s="78" t="s">
        <v>13070</v>
      </c>
      <c r="C8238" s="94">
        <v>1060</v>
      </c>
    </row>
    <row r="8239" spans="1:3" x14ac:dyDescent="0.25">
      <c r="A8239" s="163" t="s">
        <v>13071</v>
      </c>
      <c r="B8239" s="78" t="s">
        <v>13072</v>
      </c>
      <c r="C8239" s="94">
        <v>1060</v>
      </c>
    </row>
    <row r="8240" spans="1:3" x14ac:dyDescent="0.25">
      <c r="A8240" s="163" t="s">
        <v>13073</v>
      </c>
      <c r="B8240" s="78" t="s">
        <v>13074</v>
      </c>
      <c r="C8240" s="94">
        <v>1060</v>
      </c>
    </row>
    <row r="8241" spans="1:3" x14ac:dyDescent="0.25">
      <c r="A8241" s="163" t="s">
        <v>13075</v>
      </c>
      <c r="B8241" s="78" t="s">
        <v>13076</v>
      </c>
      <c r="C8241" s="94">
        <v>1067</v>
      </c>
    </row>
    <row r="8242" spans="1:3" x14ac:dyDescent="0.25">
      <c r="A8242" s="163" t="s">
        <v>13077</v>
      </c>
      <c r="B8242" s="78" t="s">
        <v>13078</v>
      </c>
      <c r="C8242" s="94">
        <v>1071</v>
      </c>
    </row>
    <row r="8243" spans="1:3" x14ac:dyDescent="0.25">
      <c r="A8243" s="118" t="s">
        <v>13079</v>
      </c>
      <c r="B8243" s="116" t="s">
        <v>13080</v>
      </c>
      <c r="C8243" s="102">
        <v>1073</v>
      </c>
    </row>
    <row r="8244" spans="1:3" x14ac:dyDescent="0.25">
      <c r="A8244" s="163" t="s">
        <v>13081</v>
      </c>
      <c r="B8244" s="78" t="s">
        <v>13082</v>
      </c>
      <c r="C8244" s="94">
        <v>1097</v>
      </c>
    </row>
    <row r="8245" spans="1:3" x14ac:dyDescent="0.25">
      <c r="A8245" s="163" t="s">
        <v>13083</v>
      </c>
      <c r="B8245" s="78" t="s">
        <v>13084</v>
      </c>
      <c r="C8245" s="94">
        <v>1097</v>
      </c>
    </row>
    <row r="8246" spans="1:3" ht="31.5" x14ac:dyDescent="0.25">
      <c r="A8246" s="172" t="s">
        <v>13085</v>
      </c>
      <c r="B8246" s="112" t="s">
        <v>13086</v>
      </c>
      <c r="C8246" s="105">
        <v>1100</v>
      </c>
    </row>
    <row r="8247" spans="1:3" x14ac:dyDescent="0.25">
      <c r="A8247" s="162" t="s">
        <v>13087</v>
      </c>
      <c r="B8247" s="117" t="s">
        <v>13088</v>
      </c>
      <c r="C8247" s="107">
        <v>1100</v>
      </c>
    </row>
    <row r="8248" spans="1:3" x14ac:dyDescent="0.25">
      <c r="A8248" s="163" t="s">
        <v>13089</v>
      </c>
      <c r="B8248" s="78" t="s">
        <v>13090</v>
      </c>
      <c r="C8248" s="101">
        <v>1100</v>
      </c>
    </row>
    <row r="8249" spans="1:3" x14ac:dyDescent="0.25">
      <c r="A8249" s="163" t="s">
        <v>13091</v>
      </c>
      <c r="B8249" s="78" t="s">
        <v>13092</v>
      </c>
      <c r="C8249" s="94">
        <v>1102</v>
      </c>
    </row>
    <row r="8250" spans="1:3" x14ac:dyDescent="0.25">
      <c r="A8250" s="163" t="s">
        <v>13093</v>
      </c>
      <c r="B8250" s="78" t="s">
        <v>13094</v>
      </c>
      <c r="C8250" s="94">
        <v>1102</v>
      </c>
    </row>
    <row r="8251" spans="1:3" x14ac:dyDescent="0.25">
      <c r="A8251" s="163" t="s">
        <v>13095</v>
      </c>
      <c r="B8251" s="78" t="s">
        <v>13096</v>
      </c>
      <c r="C8251" s="94">
        <v>1102</v>
      </c>
    </row>
    <row r="8252" spans="1:3" x14ac:dyDescent="0.25">
      <c r="A8252" s="118" t="s">
        <v>13097</v>
      </c>
      <c r="B8252" s="116" t="s">
        <v>13098</v>
      </c>
      <c r="C8252" s="102">
        <v>1102</v>
      </c>
    </row>
    <row r="8253" spans="1:3" ht="31.5" x14ac:dyDescent="0.25">
      <c r="A8253" s="118" t="s">
        <v>13099</v>
      </c>
      <c r="B8253" s="116" t="s">
        <v>13100</v>
      </c>
      <c r="C8253" s="102">
        <v>1102</v>
      </c>
    </row>
    <row r="8254" spans="1:3" x14ac:dyDescent="0.25">
      <c r="A8254" s="118" t="s">
        <v>13101</v>
      </c>
      <c r="B8254" s="116" t="s">
        <v>13102</v>
      </c>
      <c r="C8254" s="102">
        <v>1102</v>
      </c>
    </row>
    <row r="8255" spans="1:3" x14ac:dyDescent="0.25">
      <c r="A8255" s="163" t="s">
        <v>13103</v>
      </c>
      <c r="B8255" s="78" t="s">
        <v>13104</v>
      </c>
      <c r="C8255" s="94">
        <v>1102</v>
      </c>
    </row>
    <row r="8256" spans="1:3" x14ac:dyDescent="0.25">
      <c r="A8256" s="163" t="s">
        <v>13105</v>
      </c>
      <c r="B8256" s="78" t="s">
        <v>13106</v>
      </c>
      <c r="C8256" s="94">
        <v>1102</v>
      </c>
    </row>
    <row r="8257" spans="1:3" x14ac:dyDescent="0.25">
      <c r="A8257" s="163" t="s">
        <v>13107</v>
      </c>
      <c r="B8257" s="78" t="s">
        <v>13108</v>
      </c>
      <c r="C8257" s="94">
        <v>1102</v>
      </c>
    </row>
    <row r="8258" spans="1:3" x14ac:dyDescent="0.25">
      <c r="A8258" s="163" t="s">
        <v>13109</v>
      </c>
      <c r="B8258" s="78" t="s">
        <v>13110</v>
      </c>
      <c r="C8258" s="94">
        <v>1102</v>
      </c>
    </row>
    <row r="8259" spans="1:3" x14ac:dyDescent="0.25">
      <c r="A8259" s="163" t="s">
        <v>13111</v>
      </c>
      <c r="B8259" s="78" t="s">
        <v>13112</v>
      </c>
      <c r="C8259" s="94">
        <v>1102</v>
      </c>
    </row>
    <row r="8260" spans="1:3" x14ac:dyDescent="0.25">
      <c r="A8260" s="163" t="s">
        <v>13113</v>
      </c>
      <c r="B8260" s="78" t="s">
        <v>13114</v>
      </c>
      <c r="C8260" s="94">
        <v>1102</v>
      </c>
    </row>
    <row r="8261" spans="1:3" x14ac:dyDescent="0.25">
      <c r="A8261" s="163" t="s">
        <v>13115</v>
      </c>
      <c r="B8261" s="78" t="s">
        <v>13116</v>
      </c>
      <c r="C8261" s="94">
        <v>1102</v>
      </c>
    </row>
    <row r="8262" spans="1:3" x14ac:dyDescent="0.25">
      <c r="A8262" s="163" t="s">
        <v>13117</v>
      </c>
      <c r="B8262" s="78" t="s">
        <v>13118</v>
      </c>
      <c r="C8262" s="94">
        <v>1105</v>
      </c>
    </row>
    <row r="8263" spans="1:3" x14ac:dyDescent="0.25">
      <c r="A8263" s="163" t="s">
        <v>13119</v>
      </c>
      <c r="B8263" s="78" t="s">
        <v>13118</v>
      </c>
      <c r="C8263" s="94">
        <v>1105</v>
      </c>
    </row>
    <row r="8264" spans="1:3" x14ac:dyDescent="0.25">
      <c r="A8264" s="174" t="s">
        <v>13120</v>
      </c>
      <c r="B8264" s="117" t="s">
        <v>13121</v>
      </c>
      <c r="C8264" s="105">
        <v>1110</v>
      </c>
    </row>
    <row r="8265" spans="1:3" x14ac:dyDescent="0.25">
      <c r="A8265" s="164" t="s">
        <v>13122</v>
      </c>
      <c r="B8265" s="78" t="s">
        <v>13123</v>
      </c>
      <c r="C8265" s="101">
        <v>1110</v>
      </c>
    </row>
    <row r="8266" spans="1:3" ht="31.5" x14ac:dyDescent="0.25">
      <c r="A8266" s="118" t="s">
        <v>13124</v>
      </c>
      <c r="B8266" s="116" t="s">
        <v>13125</v>
      </c>
      <c r="C8266" s="102">
        <v>1113</v>
      </c>
    </row>
    <row r="8267" spans="1:3" x14ac:dyDescent="0.25">
      <c r="A8267" s="163" t="s">
        <v>13126</v>
      </c>
      <c r="B8267" s="78" t="s">
        <v>15762</v>
      </c>
      <c r="C8267" s="94">
        <v>1117</v>
      </c>
    </row>
    <row r="8268" spans="1:3" x14ac:dyDescent="0.25">
      <c r="A8268" s="163" t="s">
        <v>13127</v>
      </c>
      <c r="B8268" s="78" t="s">
        <v>13128</v>
      </c>
      <c r="C8268" s="94">
        <v>1145</v>
      </c>
    </row>
    <row r="8269" spans="1:3" x14ac:dyDescent="0.25">
      <c r="A8269" s="163" t="s">
        <v>13129</v>
      </c>
      <c r="B8269" s="78" t="s">
        <v>13130</v>
      </c>
      <c r="C8269" s="94">
        <v>1145</v>
      </c>
    </row>
    <row r="8270" spans="1:3" ht="31.5" customHeight="1" x14ac:dyDescent="0.25">
      <c r="A8270" s="162" t="s">
        <v>13131</v>
      </c>
      <c r="B8270" s="117" t="s">
        <v>13132</v>
      </c>
      <c r="C8270" s="107">
        <v>1150</v>
      </c>
    </row>
    <row r="8271" spans="1:3" ht="31.5" x14ac:dyDescent="0.25">
      <c r="A8271" s="163" t="s">
        <v>13133</v>
      </c>
      <c r="B8271" s="78" t="s">
        <v>13134</v>
      </c>
      <c r="C8271" s="94">
        <v>1164</v>
      </c>
    </row>
    <row r="8272" spans="1:3" x14ac:dyDescent="0.25">
      <c r="A8272" s="118" t="s">
        <v>13135</v>
      </c>
      <c r="B8272" s="116" t="s">
        <v>13136</v>
      </c>
      <c r="C8272" s="102">
        <v>1178</v>
      </c>
    </row>
    <row r="8273" spans="1:3" x14ac:dyDescent="0.25">
      <c r="A8273" s="118" t="s">
        <v>13137</v>
      </c>
      <c r="B8273" s="116" t="s">
        <v>13138</v>
      </c>
      <c r="C8273" s="102">
        <v>1178</v>
      </c>
    </row>
    <row r="8274" spans="1:3" x14ac:dyDescent="0.25">
      <c r="A8274" s="162" t="s">
        <v>13139</v>
      </c>
      <c r="B8274" s="117" t="s">
        <v>15763</v>
      </c>
      <c r="C8274" s="107">
        <v>1200</v>
      </c>
    </row>
    <row r="8275" spans="1:3" x14ac:dyDescent="0.25">
      <c r="A8275" s="162" t="s">
        <v>13140</v>
      </c>
      <c r="B8275" s="117" t="s">
        <v>13141</v>
      </c>
      <c r="C8275" s="107">
        <v>1210</v>
      </c>
    </row>
    <row r="8276" spans="1:3" x14ac:dyDescent="0.25">
      <c r="A8276" s="118" t="s">
        <v>13142</v>
      </c>
      <c r="B8276" s="116" t="s">
        <v>13143</v>
      </c>
      <c r="C8276" s="102">
        <v>1212</v>
      </c>
    </row>
    <row r="8277" spans="1:3" x14ac:dyDescent="0.25">
      <c r="A8277" s="163" t="s">
        <v>13144</v>
      </c>
      <c r="B8277" s="78" t="s">
        <v>13145</v>
      </c>
      <c r="C8277" s="94">
        <v>1221</v>
      </c>
    </row>
    <row r="8278" spans="1:3" x14ac:dyDescent="0.25">
      <c r="A8278" s="163" t="s">
        <v>13146</v>
      </c>
      <c r="B8278" s="78" t="s">
        <v>13147</v>
      </c>
      <c r="C8278" s="94">
        <v>1221</v>
      </c>
    </row>
    <row r="8279" spans="1:3" x14ac:dyDescent="0.25">
      <c r="A8279" s="163" t="s">
        <v>13148</v>
      </c>
      <c r="B8279" s="78" t="s">
        <v>13149</v>
      </c>
      <c r="C8279" s="94">
        <v>1221</v>
      </c>
    </row>
    <row r="8280" spans="1:3" x14ac:dyDescent="0.25">
      <c r="A8280" s="163" t="s">
        <v>13150</v>
      </c>
      <c r="B8280" s="78" t="s">
        <v>13151</v>
      </c>
      <c r="C8280" s="94">
        <v>1221</v>
      </c>
    </row>
    <row r="8281" spans="1:3" x14ac:dyDescent="0.25">
      <c r="A8281" s="163" t="s">
        <v>13152</v>
      </c>
      <c r="B8281" s="78" t="s">
        <v>13153</v>
      </c>
      <c r="C8281" s="94">
        <v>1221</v>
      </c>
    </row>
    <row r="8282" spans="1:3" x14ac:dyDescent="0.25">
      <c r="A8282" s="118" t="s">
        <v>13154</v>
      </c>
      <c r="B8282" s="116" t="s">
        <v>13155</v>
      </c>
      <c r="C8282" s="102">
        <v>1224</v>
      </c>
    </row>
    <row r="8283" spans="1:3" ht="31.5" x14ac:dyDescent="0.25">
      <c r="A8283" s="163" t="s">
        <v>13156</v>
      </c>
      <c r="B8283" s="78" t="s">
        <v>13157</v>
      </c>
      <c r="C8283" s="94">
        <v>1224</v>
      </c>
    </row>
    <row r="8284" spans="1:3" x14ac:dyDescent="0.25">
      <c r="A8284" s="163" t="s">
        <v>13158</v>
      </c>
      <c r="B8284" s="78" t="s">
        <v>13159</v>
      </c>
      <c r="C8284" s="94">
        <v>1224</v>
      </c>
    </row>
    <row r="8285" spans="1:3" ht="31.5" x14ac:dyDescent="0.25">
      <c r="A8285" s="118" t="s">
        <v>13160</v>
      </c>
      <c r="B8285" s="116" t="s">
        <v>13161</v>
      </c>
      <c r="C8285" s="102">
        <v>1250</v>
      </c>
    </row>
    <row r="8286" spans="1:3" x14ac:dyDescent="0.25">
      <c r="A8286" s="163" t="s">
        <v>13162</v>
      </c>
      <c r="B8286" s="78" t="s">
        <v>13163</v>
      </c>
      <c r="C8286" s="94">
        <v>1253</v>
      </c>
    </row>
    <row r="8287" spans="1:3" x14ac:dyDescent="0.25">
      <c r="A8287" s="163" t="s">
        <v>13164</v>
      </c>
      <c r="B8287" s="78" t="s">
        <v>13165</v>
      </c>
      <c r="C8287" s="94">
        <v>1257</v>
      </c>
    </row>
    <row r="8288" spans="1:3" x14ac:dyDescent="0.25">
      <c r="A8288" s="163" t="s">
        <v>13166</v>
      </c>
      <c r="B8288" s="78" t="s">
        <v>13167</v>
      </c>
      <c r="C8288" s="94">
        <v>1257</v>
      </c>
    </row>
    <row r="8289" spans="1:3" x14ac:dyDescent="0.25">
      <c r="A8289" s="163" t="s">
        <v>13168</v>
      </c>
      <c r="B8289" s="78" t="s">
        <v>13169</v>
      </c>
      <c r="C8289" s="94">
        <v>1258</v>
      </c>
    </row>
    <row r="8290" spans="1:3" x14ac:dyDescent="0.25">
      <c r="A8290" s="163" t="s">
        <v>13170</v>
      </c>
      <c r="B8290" s="78" t="s">
        <v>13171</v>
      </c>
      <c r="C8290" s="94">
        <v>1258</v>
      </c>
    </row>
    <row r="8291" spans="1:3" x14ac:dyDescent="0.25">
      <c r="A8291" s="163" t="s">
        <v>13172</v>
      </c>
      <c r="B8291" s="78" t="s">
        <v>13173</v>
      </c>
      <c r="C8291" s="94">
        <v>1258</v>
      </c>
    </row>
    <row r="8292" spans="1:3" x14ac:dyDescent="0.25">
      <c r="A8292" s="163" t="s">
        <v>13174</v>
      </c>
      <c r="B8292" s="78" t="s">
        <v>13175</v>
      </c>
      <c r="C8292" s="94">
        <v>1258</v>
      </c>
    </row>
    <row r="8293" spans="1:3" x14ac:dyDescent="0.25">
      <c r="A8293" s="163" t="s">
        <v>13176</v>
      </c>
      <c r="B8293" s="78" t="s">
        <v>13177</v>
      </c>
      <c r="C8293" s="94">
        <v>1264</v>
      </c>
    </row>
    <row r="8294" spans="1:3" x14ac:dyDescent="0.25">
      <c r="A8294" s="163" t="s">
        <v>13178</v>
      </c>
      <c r="B8294" s="78" t="s">
        <v>13179</v>
      </c>
      <c r="C8294" s="94">
        <v>1264</v>
      </c>
    </row>
    <row r="8295" spans="1:3" x14ac:dyDescent="0.25">
      <c r="A8295" s="163" t="s">
        <v>13180</v>
      </c>
      <c r="B8295" s="78" t="s">
        <v>13181</v>
      </c>
      <c r="C8295" s="94">
        <v>1269</v>
      </c>
    </row>
    <row r="8296" spans="1:3" x14ac:dyDescent="0.25">
      <c r="A8296" s="118" t="s">
        <v>13182</v>
      </c>
      <c r="B8296" s="116" t="s">
        <v>13183</v>
      </c>
      <c r="C8296" s="102">
        <v>1271</v>
      </c>
    </row>
    <row r="8297" spans="1:3" x14ac:dyDescent="0.25">
      <c r="A8297" s="163" t="s">
        <v>13184</v>
      </c>
      <c r="B8297" s="78" t="s">
        <v>13185</v>
      </c>
      <c r="C8297" s="94">
        <v>1271</v>
      </c>
    </row>
    <row r="8298" spans="1:3" x14ac:dyDescent="0.25">
      <c r="A8298" s="163" t="s">
        <v>13186</v>
      </c>
      <c r="B8298" s="78" t="s">
        <v>13187</v>
      </c>
      <c r="C8298" s="94">
        <v>1271</v>
      </c>
    </row>
    <row r="8299" spans="1:3" x14ac:dyDescent="0.25">
      <c r="A8299" s="163" t="s">
        <v>13188</v>
      </c>
      <c r="B8299" s="78" t="s">
        <v>13189</v>
      </c>
      <c r="C8299" s="94">
        <v>1276</v>
      </c>
    </row>
    <row r="8300" spans="1:3" x14ac:dyDescent="0.25">
      <c r="A8300" s="163" t="s">
        <v>13190</v>
      </c>
      <c r="B8300" s="78" t="s">
        <v>13191</v>
      </c>
      <c r="C8300" s="94">
        <v>1289</v>
      </c>
    </row>
    <row r="8301" spans="1:3" x14ac:dyDescent="0.25">
      <c r="A8301" s="163" t="s">
        <v>13192</v>
      </c>
      <c r="B8301" s="78" t="s">
        <v>13193</v>
      </c>
      <c r="C8301" s="94">
        <v>1289</v>
      </c>
    </row>
    <row r="8302" spans="1:3" x14ac:dyDescent="0.25">
      <c r="A8302" s="163" t="s">
        <v>13194</v>
      </c>
      <c r="B8302" s="78" t="s">
        <v>13195</v>
      </c>
      <c r="C8302" s="94">
        <v>1289</v>
      </c>
    </row>
    <row r="8303" spans="1:3" x14ac:dyDescent="0.25">
      <c r="A8303" s="163" t="s">
        <v>13196</v>
      </c>
      <c r="B8303" s="78" t="s">
        <v>13197</v>
      </c>
      <c r="C8303" s="94">
        <v>1294</v>
      </c>
    </row>
    <row r="8304" spans="1:3" x14ac:dyDescent="0.25">
      <c r="A8304" s="118" t="s">
        <v>13198</v>
      </c>
      <c r="B8304" s="116" t="s">
        <v>13199</v>
      </c>
      <c r="C8304" s="94">
        <v>1300</v>
      </c>
    </row>
    <row r="8305" spans="1:3" x14ac:dyDescent="0.25">
      <c r="A8305" s="163" t="s">
        <v>13200</v>
      </c>
      <c r="B8305" s="78" t="s">
        <v>13201</v>
      </c>
      <c r="C8305" s="94">
        <v>1300</v>
      </c>
    </row>
    <row r="8306" spans="1:3" x14ac:dyDescent="0.25">
      <c r="A8306" s="118" t="s">
        <v>13202</v>
      </c>
      <c r="B8306" s="116" t="s">
        <v>13203</v>
      </c>
      <c r="C8306" s="94">
        <v>1300</v>
      </c>
    </row>
    <row r="8307" spans="1:3" x14ac:dyDescent="0.25">
      <c r="A8307" s="163" t="s">
        <v>13204</v>
      </c>
      <c r="B8307" s="78" t="s">
        <v>13205</v>
      </c>
      <c r="C8307" s="94">
        <v>1300</v>
      </c>
    </row>
    <row r="8308" spans="1:3" x14ac:dyDescent="0.25">
      <c r="A8308" s="163" t="s">
        <v>13206</v>
      </c>
      <c r="B8308" s="78" t="s">
        <v>13207</v>
      </c>
      <c r="C8308" s="94">
        <v>1300</v>
      </c>
    </row>
    <row r="8309" spans="1:3" x14ac:dyDescent="0.25">
      <c r="A8309" s="163" t="s">
        <v>13208</v>
      </c>
      <c r="B8309" s="78" t="s">
        <v>13209</v>
      </c>
      <c r="C8309" s="94">
        <v>1301</v>
      </c>
    </row>
    <row r="8310" spans="1:3" x14ac:dyDescent="0.25">
      <c r="A8310" s="118" t="s">
        <v>13210</v>
      </c>
      <c r="B8310" s="116" t="s">
        <v>13211</v>
      </c>
      <c r="C8310" s="94">
        <v>1312</v>
      </c>
    </row>
    <row r="8311" spans="1:3" x14ac:dyDescent="0.25">
      <c r="A8311" s="163" t="s">
        <v>13212</v>
      </c>
      <c r="B8311" s="78" t="s">
        <v>13213</v>
      </c>
      <c r="C8311" s="94">
        <v>1312</v>
      </c>
    </row>
    <row r="8312" spans="1:3" x14ac:dyDescent="0.25">
      <c r="A8312" s="163" t="s">
        <v>13214</v>
      </c>
      <c r="B8312" s="78" t="s">
        <v>13215</v>
      </c>
      <c r="C8312" s="94">
        <v>1315</v>
      </c>
    </row>
    <row r="8313" spans="1:3" x14ac:dyDescent="0.25">
      <c r="A8313" s="163" t="s">
        <v>13216</v>
      </c>
      <c r="B8313" s="78" t="s">
        <v>13217</v>
      </c>
      <c r="C8313" s="94">
        <v>1315</v>
      </c>
    </row>
    <row r="8314" spans="1:3" x14ac:dyDescent="0.25">
      <c r="A8314" s="163" t="s">
        <v>13218</v>
      </c>
      <c r="B8314" s="78" t="s">
        <v>13219</v>
      </c>
      <c r="C8314" s="94">
        <v>1315</v>
      </c>
    </row>
    <row r="8315" spans="1:3" x14ac:dyDescent="0.25">
      <c r="A8315" s="163" t="s">
        <v>13220</v>
      </c>
      <c r="B8315" s="78" t="s">
        <v>13221</v>
      </c>
      <c r="C8315" s="94">
        <v>1315</v>
      </c>
    </row>
    <row r="8316" spans="1:3" ht="31.5" x14ac:dyDescent="0.25">
      <c r="A8316" s="118" t="s">
        <v>13222</v>
      </c>
      <c r="B8316" s="116" t="s">
        <v>13223</v>
      </c>
      <c r="C8316" s="102">
        <v>1321</v>
      </c>
    </row>
    <row r="8317" spans="1:3" x14ac:dyDescent="0.25">
      <c r="A8317" s="163" t="s">
        <v>13224</v>
      </c>
      <c r="B8317" s="78" t="s">
        <v>13225</v>
      </c>
      <c r="C8317" s="94">
        <v>1327</v>
      </c>
    </row>
    <row r="8318" spans="1:3" x14ac:dyDescent="0.25">
      <c r="A8318" s="163" t="s">
        <v>13226</v>
      </c>
      <c r="B8318" s="78" t="s">
        <v>13227</v>
      </c>
      <c r="C8318" s="94">
        <v>1327</v>
      </c>
    </row>
    <row r="8319" spans="1:3" x14ac:dyDescent="0.25">
      <c r="A8319" s="163" t="s">
        <v>13228</v>
      </c>
      <c r="B8319" s="78" t="s">
        <v>13229</v>
      </c>
      <c r="C8319" s="94">
        <v>1340</v>
      </c>
    </row>
    <row r="8320" spans="1:3" x14ac:dyDescent="0.25">
      <c r="A8320" s="163" t="s">
        <v>13230</v>
      </c>
      <c r="B8320" s="78" t="s">
        <v>13231</v>
      </c>
      <c r="C8320" s="94">
        <v>1353</v>
      </c>
    </row>
    <row r="8321" spans="1:3" ht="31.5" x14ac:dyDescent="0.25">
      <c r="A8321" s="164" t="s">
        <v>13232</v>
      </c>
      <c r="B8321" s="173" t="s">
        <v>13233</v>
      </c>
      <c r="C8321" s="101">
        <v>1456</v>
      </c>
    </row>
    <row r="8322" spans="1:3" x14ac:dyDescent="0.25">
      <c r="A8322" s="163" t="s">
        <v>13234</v>
      </c>
      <c r="B8322" s="78" t="s">
        <v>13235</v>
      </c>
      <c r="C8322" s="94">
        <v>1460</v>
      </c>
    </row>
    <row r="8323" spans="1:3" x14ac:dyDescent="0.25">
      <c r="A8323" s="163" t="s">
        <v>13236</v>
      </c>
      <c r="B8323" s="78" t="s">
        <v>13237</v>
      </c>
      <c r="C8323" s="94">
        <v>1460</v>
      </c>
    </row>
    <row r="8324" spans="1:3" x14ac:dyDescent="0.25">
      <c r="A8324" s="163" t="s">
        <v>13238</v>
      </c>
      <c r="B8324" s="78" t="s">
        <v>13239</v>
      </c>
      <c r="C8324" s="94">
        <v>1460</v>
      </c>
    </row>
    <row r="8325" spans="1:3" x14ac:dyDescent="0.25">
      <c r="A8325" s="163" t="s">
        <v>13240</v>
      </c>
      <c r="B8325" s="78" t="s">
        <v>13241</v>
      </c>
      <c r="C8325" s="94">
        <v>1463</v>
      </c>
    </row>
    <row r="8326" spans="1:3" x14ac:dyDescent="0.25">
      <c r="A8326" s="163" t="s">
        <v>13242</v>
      </c>
      <c r="B8326" s="78" t="s">
        <v>13243</v>
      </c>
      <c r="C8326" s="94">
        <v>1463</v>
      </c>
    </row>
    <row r="8327" spans="1:3" x14ac:dyDescent="0.25">
      <c r="A8327" s="163" t="s">
        <v>13244</v>
      </c>
      <c r="B8327" s="78" t="s">
        <v>13245</v>
      </c>
      <c r="C8327" s="94">
        <v>1463</v>
      </c>
    </row>
    <row r="8328" spans="1:3" x14ac:dyDescent="0.25">
      <c r="A8328" s="118" t="s">
        <v>15764</v>
      </c>
      <c r="B8328" s="116" t="s">
        <v>13246</v>
      </c>
      <c r="C8328" s="102">
        <v>1470</v>
      </c>
    </row>
    <row r="8329" spans="1:3" x14ac:dyDescent="0.25">
      <c r="A8329" s="163" t="s">
        <v>13247</v>
      </c>
      <c r="B8329" s="78" t="s">
        <v>13248</v>
      </c>
      <c r="C8329" s="94">
        <v>1475</v>
      </c>
    </row>
    <row r="8330" spans="1:3" x14ac:dyDescent="0.25">
      <c r="A8330" s="163" t="s">
        <v>13249</v>
      </c>
      <c r="B8330" s="78" t="s">
        <v>13250</v>
      </c>
      <c r="C8330" s="94">
        <v>1475</v>
      </c>
    </row>
    <row r="8331" spans="1:3" ht="31.5" x14ac:dyDescent="0.25">
      <c r="A8331" s="163" t="s">
        <v>13251</v>
      </c>
      <c r="B8331" s="78" t="s">
        <v>15765</v>
      </c>
      <c r="C8331" s="94">
        <v>1560</v>
      </c>
    </row>
    <row r="8332" spans="1:3" x14ac:dyDescent="0.25">
      <c r="A8332" s="118" t="s">
        <v>13252</v>
      </c>
      <c r="B8332" s="116" t="s">
        <v>13253</v>
      </c>
      <c r="C8332" s="102">
        <v>1571</v>
      </c>
    </row>
    <row r="8333" spans="1:3" x14ac:dyDescent="0.25">
      <c r="A8333" s="118" t="s">
        <v>13254</v>
      </c>
      <c r="B8333" s="116" t="s">
        <v>13255</v>
      </c>
      <c r="C8333" s="102">
        <v>1571</v>
      </c>
    </row>
    <row r="8334" spans="1:3" x14ac:dyDescent="0.25">
      <c r="A8334" s="118" t="s">
        <v>13256</v>
      </c>
      <c r="B8334" s="116" t="s">
        <v>13257</v>
      </c>
      <c r="C8334" s="102">
        <v>1571</v>
      </c>
    </row>
    <row r="8335" spans="1:3" x14ac:dyDescent="0.25">
      <c r="A8335" s="118" t="s">
        <v>13258</v>
      </c>
      <c r="B8335" s="116" t="s">
        <v>13259</v>
      </c>
      <c r="C8335" s="102">
        <v>1592</v>
      </c>
    </row>
    <row r="8336" spans="1:3" x14ac:dyDescent="0.25">
      <c r="A8336" s="118" t="s">
        <v>13260</v>
      </c>
      <c r="B8336" s="116" t="s">
        <v>13261</v>
      </c>
      <c r="C8336" s="102">
        <v>1592</v>
      </c>
    </row>
    <row r="8337" spans="1:3" ht="31.5" x14ac:dyDescent="0.25">
      <c r="A8337" s="163" t="s">
        <v>13262</v>
      </c>
      <c r="B8337" s="78" t="s">
        <v>13263</v>
      </c>
      <c r="C8337" s="94">
        <v>1635</v>
      </c>
    </row>
    <row r="8338" spans="1:3" x14ac:dyDescent="0.25">
      <c r="A8338" s="118" t="s">
        <v>13264</v>
      </c>
      <c r="B8338" s="116" t="s">
        <v>13265</v>
      </c>
      <c r="C8338" s="102">
        <v>1645</v>
      </c>
    </row>
    <row r="8339" spans="1:3" ht="31.5" x14ac:dyDescent="0.25">
      <c r="A8339" s="118" t="s">
        <v>13266</v>
      </c>
      <c r="B8339" s="116" t="s">
        <v>13267</v>
      </c>
      <c r="C8339" s="102">
        <v>1653</v>
      </c>
    </row>
    <row r="8340" spans="1:3" ht="31.5" x14ac:dyDescent="0.25">
      <c r="A8340" s="118" t="s">
        <v>13268</v>
      </c>
      <c r="B8340" s="116" t="s">
        <v>13269</v>
      </c>
      <c r="C8340" s="102">
        <v>1714</v>
      </c>
    </row>
    <row r="8341" spans="1:3" x14ac:dyDescent="0.25">
      <c r="A8341" s="118" t="s">
        <v>13270</v>
      </c>
      <c r="B8341" s="116" t="s">
        <v>13271</v>
      </c>
      <c r="C8341" s="102">
        <v>1715</v>
      </c>
    </row>
    <row r="8342" spans="1:3" x14ac:dyDescent="0.25">
      <c r="A8342" s="118" t="s">
        <v>13272</v>
      </c>
      <c r="B8342" s="116" t="s">
        <v>13273</v>
      </c>
      <c r="C8342" s="102">
        <v>1715</v>
      </c>
    </row>
    <row r="8343" spans="1:3" x14ac:dyDescent="0.25">
      <c r="A8343" s="118" t="s">
        <v>13274</v>
      </c>
      <c r="B8343" s="116" t="s">
        <v>13275</v>
      </c>
      <c r="C8343" s="102">
        <v>1715</v>
      </c>
    </row>
    <row r="8344" spans="1:3" x14ac:dyDescent="0.25">
      <c r="A8344" s="118" t="s">
        <v>13276</v>
      </c>
      <c r="B8344" s="116" t="s">
        <v>13277</v>
      </c>
      <c r="C8344" s="102">
        <v>1780</v>
      </c>
    </row>
    <row r="8345" spans="1:3" x14ac:dyDescent="0.25">
      <c r="A8345" s="118" t="s">
        <v>15766</v>
      </c>
      <c r="B8345" s="116" t="s">
        <v>13278</v>
      </c>
      <c r="C8345" s="102">
        <v>1791</v>
      </c>
    </row>
    <row r="8346" spans="1:3" x14ac:dyDescent="0.25">
      <c r="A8346" s="118" t="s">
        <v>13279</v>
      </c>
      <c r="B8346" s="116" t="s">
        <v>13280</v>
      </c>
      <c r="C8346" s="102">
        <v>1830</v>
      </c>
    </row>
    <row r="8347" spans="1:3" x14ac:dyDescent="0.25">
      <c r="A8347" s="118" t="s">
        <v>13281</v>
      </c>
      <c r="B8347" s="116" t="s">
        <v>13282</v>
      </c>
      <c r="C8347" s="102">
        <v>1837</v>
      </c>
    </row>
    <row r="8348" spans="1:3" x14ac:dyDescent="0.25">
      <c r="A8348" s="118" t="s">
        <v>13283</v>
      </c>
      <c r="B8348" s="116" t="s">
        <v>13284</v>
      </c>
      <c r="C8348" s="102">
        <v>1837</v>
      </c>
    </row>
    <row r="8349" spans="1:3" x14ac:dyDescent="0.25">
      <c r="A8349" s="118" t="s">
        <v>13285</v>
      </c>
      <c r="B8349" s="116" t="s">
        <v>13286</v>
      </c>
      <c r="C8349" s="102">
        <v>1837</v>
      </c>
    </row>
    <row r="8350" spans="1:3" x14ac:dyDescent="0.25">
      <c r="A8350" s="118" t="s">
        <v>13287</v>
      </c>
      <c r="B8350" s="116" t="s">
        <v>13288</v>
      </c>
      <c r="C8350" s="102">
        <v>1837</v>
      </c>
    </row>
    <row r="8351" spans="1:3" x14ac:dyDescent="0.25">
      <c r="A8351" s="118" t="s">
        <v>13289</v>
      </c>
      <c r="B8351" s="116" t="s">
        <v>13290</v>
      </c>
      <c r="C8351" s="102">
        <v>1837</v>
      </c>
    </row>
    <row r="8352" spans="1:3" x14ac:dyDescent="0.25">
      <c r="A8352" s="118" t="s">
        <v>13291</v>
      </c>
      <c r="B8352" s="116" t="s">
        <v>13292</v>
      </c>
      <c r="C8352" s="102">
        <v>1837</v>
      </c>
    </row>
    <row r="8353" spans="1:3" x14ac:dyDescent="0.25">
      <c r="A8353" s="118" t="s">
        <v>13293</v>
      </c>
      <c r="B8353" s="116" t="s">
        <v>13294</v>
      </c>
      <c r="C8353" s="102">
        <v>1837</v>
      </c>
    </row>
    <row r="8354" spans="1:3" ht="31.5" x14ac:dyDescent="0.25">
      <c r="A8354" s="163" t="s">
        <v>13295</v>
      </c>
      <c r="B8354" s="78" t="s">
        <v>13296</v>
      </c>
      <c r="C8354" s="94">
        <v>1837</v>
      </c>
    </row>
    <row r="8355" spans="1:3" x14ac:dyDescent="0.25">
      <c r="A8355" s="118" t="s">
        <v>13297</v>
      </c>
      <c r="B8355" s="78" t="s">
        <v>13298</v>
      </c>
      <c r="C8355" s="102">
        <v>1863</v>
      </c>
    </row>
    <row r="8356" spans="1:3" x14ac:dyDescent="0.25">
      <c r="A8356" s="118" t="s">
        <v>13299</v>
      </c>
      <c r="B8356" s="116" t="s">
        <v>13300</v>
      </c>
      <c r="C8356" s="102">
        <v>1915</v>
      </c>
    </row>
    <row r="8357" spans="1:3" x14ac:dyDescent="0.25">
      <c r="A8357" s="118" t="s">
        <v>13301</v>
      </c>
      <c r="B8357" s="116" t="s">
        <v>13302</v>
      </c>
      <c r="C8357" s="102">
        <v>1929</v>
      </c>
    </row>
    <row r="8358" spans="1:3" ht="31.5" x14ac:dyDescent="0.25">
      <c r="A8358" s="118" t="s">
        <v>13303</v>
      </c>
      <c r="B8358" s="116" t="s">
        <v>13304</v>
      </c>
      <c r="C8358" s="102">
        <v>1929</v>
      </c>
    </row>
    <row r="8359" spans="1:3" x14ac:dyDescent="0.25">
      <c r="A8359" s="118" t="s">
        <v>13305</v>
      </c>
      <c r="B8359" s="116" t="s">
        <v>13306</v>
      </c>
      <c r="C8359" s="102">
        <v>1929</v>
      </c>
    </row>
    <row r="8360" spans="1:3" x14ac:dyDescent="0.25">
      <c r="A8360" s="118" t="s">
        <v>13307</v>
      </c>
      <c r="B8360" s="116" t="s">
        <v>13308</v>
      </c>
      <c r="C8360" s="102">
        <v>1959</v>
      </c>
    </row>
    <row r="8361" spans="1:3" x14ac:dyDescent="0.25">
      <c r="A8361" s="118" t="s">
        <v>13309</v>
      </c>
      <c r="B8361" s="116" t="s">
        <v>13310</v>
      </c>
      <c r="C8361" s="102">
        <v>1959</v>
      </c>
    </row>
    <row r="8362" spans="1:3" x14ac:dyDescent="0.25">
      <c r="A8362" s="118" t="s">
        <v>13311</v>
      </c>
      <c r="B8362" s="116" t="s">
        <v>13312</v>
      </c>
      <c r="C8362" s="102">
        <v>1959</v>
      </c>
    </row>
    <row r="8363" spans="1:3" x14ac:dyDescent="0.25">
      <c r="A8363" s="118" t="s">
        <v>13313</v>
      </c>
      <c r="B8363" s="78" t="s">
        <v>13314</v>
      </c>
      <c r="C8363" s="102">
        <v>1980</v>
      </c>
    </row>
    <row r="8364" spans="1:3" x14ac:dyDescent="0.25">
      <c r="A8364" s="118" t="s">
        <v>13315</v>
      </c>
      <c r="B8364" s="116" t="s">
        <v>13316</v>
      </c>
      <c r="C8364" s="102">
        <v>2021</v>
      </c>
    </row>
    <row r="8365" spans="1:3" x14ac:dyDescent="0.25">
      <c r="A8365" s="118" t="s">
        <v>13317</v>
      </c>
      <c r="B8365" s="116" t="s">
        <v>13318</v>
      </c>
      <c r="C8365" s="102">
        <v>2021</v>
      </c>
    </row>
    <row r="8366" spans="1:3" x14ac:dyDescent="0.25">
      <c r="A8366" s="118" t="s">
        <v>13319</v>
      </c>
      <c r="B8366" s="116" t="s">
        <v>13320</v>
      </c>
      <c r="C8366" s="102">
        <v>2050</v>
      </c>
    </row>
    <row r="8367" spans="1:3" x14ac:dyDescent="0.25">
      <c r="A8367" s="118" t="s">
        <v>13321</v>
      </c>
      <c r="B8367" s="116" t="s">
        <v>13322</v>
      </c>
      <c r="C8367" s="102">
        <v>2070</v>
      </c>
    </row>
    <row r="8368" spans="1:3" ht="31.5" x14ac:dyDescent="0.25">
      <c r="A8368" s="118" t="s">
        <v>13319</v>
      </c>
      <c r="B8368" s="116" t="s">
        <v>13323</v>
      </c>
      <c r="C8368" s="102">
        <v>2075</v>
      </c>
    </row>
    <row r="8369" spans="1:3" x14ac:dyDescent="0.25">
      <c r="A8369" s="118" t="s">
        <v>13324</v>
      </c>
      <c r="B8369" s="116" t="s">
        <v>13325</v>
      </c>
      <c r="C8369" s="102">
        <v>2082</v>
      </c>
    </row>
    <row r="8370" spans="1:3" x14ac:dyDescent="0.25">
      <c r="A8370" s="118" t="s">
        <v>13326</v>
      </c>
      <c r="B8370" s="116" t="s">
        <v>13327</v>
      </c>
      <c r="C8370" s="102">
        <v>2082</v>
      </c>
    </row>
    <row r="8371" spans="1:3" x14ac:dyDescent="0.25">
      <c r="A8371" s="118" t="s">
        <v>13328</v>
      </c>
      <c r="B8371" s="116" t="s">
        <v>13329</v>
      </c>
      <c r="C8371" s="102">
        <v>2082</v>
      </c>
    </row>
    <row r="8372" spans="1:3" ht="31.5" x14ac:dyDescent="0.25">
      <c r="A8372" s="163" t="s">
        <v>13330</v>
      </c>
      <c r="B8372" s="78" t="s">
        <v>13331</v>
      </c>
      <c r="C8372" s="94">
        <v>2137</v>
      </c>
    </row>
    <row r="8373" spans="1:3" x14ac:dyDescent="0.25">
      <c r="A8373" s="122" t="s">
        <v>15767</v>
      </c>
      <c r="B8373" s="116" t="s">
        <v>13332</v>
      </c>
      <c r="C8373" s="102">
        <v>2143</v>
      </c>
    </row>
    <row r="8374" spans="1:3" ht="31.5" x14ac:dyDescent="0.25">
      <c r="A8374" s="118" t="s">
        <v>13333</v>
      </c>
      <c r="B8374" s="116" t="s">
        <v>13334</v>
      </c>
      <c r="C8374" s="102">
        <v>2175</v>
      </c>
    </row>
    <row r="8375" spans="1:3" x14ac:dyDescent="0.25">
      <c r="A8375" s="118" t="s">
        <v>13335</v>
      </c>
      <c r="B8375" s="116" t="s">
        <v>13336</v>
      </c>
      <c r="C8375" s="102">
        <v>2204</v>
      </c>
    </row>
    <row r="8376" spans="1:3" x14ac:dyDescent="0.25">
      <c r="A8376" s="12" t="s">
        <v>13337</v>
      </c>
      <c r="B8376" s="78" t="s">
        <v>13338</v>
      </c>
      <c r="C8376" s="101">
        <v>2211</v>
      </c>
    </row>
    <row r="8377" spans="1:3" x14ac:dyDescent="0.25">
      <c r="A8377" s="118" t="s">
        <v>13339</v>
      </c>
      <c r="B8377" s="116" t="s">
        <v>13340</v>
      </c>
      <c r="C8377" s="102">
        <v>2213</v>
      </c>
    </row>
    <row r="8378" spans="1:3" ht="31.5" x14ac:dyDescent="0.25">
      <c r="A8378" s="163" t="s">
        <v>13341</v>
      </c>
      <c r="B8378" s="78" t="s">
        <v>15768</v>
      </c>
      <c r="C8378" s="94">
        <v>2230</v>
      </c>
    </row>
    <row r="8379" spans="1:3" ht="31.5" x14ac:dyDescent="0.25">
      <c r="A8379" s="118" t="s">
        <v>13342</v>
      </c>
      <c r="B8379" s="116" t="s">
        <v>13343</v>
      </c>
      <c r="C8379" s="102">
        <v>2233</v>
      </c>
    </row>
    <row r="8380" spans="1:3" ht="31.5" x14ac:dyDescent="0.25">
      <c r="A8380" s="118" t="s">
        <v>13344</v>
      </c>
      <c r="B8380" s="116" t="s">
        <v>13345</v>
      </c>
      <c r="C8380" s="102">
        <v>2285</v>
      </c>
    </row>
    <row r="8381" spans="1:3" x14ac:dyDescent="0.25">
      <c r="A8381" s="163" t="s">
        <v>13346</v>
      </c>
      <c r="B8381" s="78" t="s">
        <v>13347</v>
      </c>
      <c r="C8381" s="94">
        <v>2297</v>
      </c>
    </row>
    <row r="8382" spans="1:3" x14ac:dyDescent="0.25">
      <c r="A8382" s="118" t="s">
        <v>13348</v>
      </c>
      <c r="B8382" s="116" t="s">
        <v>13349</v>
      </c>
      <c r="C8382" s="102">
        <v>2306</v>
      </c>
    </row>
    <row r="8383" spans="1:3" x14ac:dyDescent="0.25">
      <c r="A8383" s="163" t="s">
        <v>13350</v>
      </c>
      <c r="B8383" s="78" t="s">
        <v>13351</v>
      </c>
      <c r="C8383" s="101">
        <v>2308</v>
      </c>
    </row>
    <row r="8384" spans="1:3" x14ac:dyDescent="0.25">
      <c r="A8384" s="118" t="s">
        <v>13352</v>
      </c>
      <c r="B8384" s="116" t="s">
        <v>13353</v>
      </c>
      <c r="C8384" s="102">
        <v>2327</v>
      </c>
    </row>
    <row r="8385" spans="1:3" ht="31.5" x14ac:dyDescent="0.25">
      <c r="A8385" s="163" t="s">
        <v>13354</v>
      </c>
      <c r="B8385" s="78" t="s">
        <v>13355</v>
      </c>
      <c r="C8385" s="94">
        <v>2327</v>
      </c>
    </row>
    <row r="8386" spans="1:3" ht="31.5" x14ac:dyDescent="0.25">
      <c r="A8386" s="163" t="s">
        <v>13356</v>
      </c>
      <c r="B8386" s="78" t="s">
        <v>13357</v>
      </c>
      <c r="C8386" s="94">
        <v>2327</v>
      </c>
    </row>
    <row r="8387" spans="1:3" x14ac:dyDescent="0.25">
      <c r="A8387" s="163" t="s">
        <v>13358</v>
      </c>
      <c r="B8387" s="78" t="s">
        <v>13359</v>
      </c>
      <c r="C8387" s="101">
        <v>2329</v>
      </c>
    </row>
    <row r="8388" spans="1:3" x14ac:dyDescent="0.25">
      <c r="A8388" s="118" t="s">
        <v>13360</v>
      </c>
      <c r="B8388" s="116" t="s">
        <v>13361</v>
      </c>
      <c r="C8388" s="102">
        <v>2356</v>
      </c>
    </row>
    <row r="8389" spans="1:3" ht="31.5" x14ac:dyDescent="0.25">
      <c r="A8389" s="163" t="s">
        <v>13362</v>
      </c>
      <c r="B8389" s="78" t="s">
        <v>13363</v>
      </c>
      <c r="C8389" s="94">
        <v>2361</v>
      </c>
    </row>
    <row r="8390" spans="1:3" x14ac:dyDescent="0.25">
      <c r="A8390" s="163" t="s">
        <v>13364</v>
      </c>
      <c r="B8390" s="78" t="s">
        <v>13365</v>
      </c>
      <c r="C8390" s="101">
        <v>2395</v>
      </c>
    </row>
    <row r="8391" spans="1:3" ht="31.5" x14ac:dyDescent="0.25">
      <c r="A8391" s="163" t="s">
        <v>13366</v>
      </c>
      <c r="B8391" s="78" t="s">
        <v>15769</v>
      </c>
      <c r="C8391" s="94">
        <v>2397</v>
      </c>
    </row>
    <row r="8392" spans="1:3" x14ac:dyDescent="0.25">
      <c r="A8392" s="163" t="s">
        <v>13367</v>
      </c>
      <c r="B8392" s="78" t="s">
        <v>13368</v>
      </c>
      <c r="C8392" s="102">
        <v>2400</v>
      </c>
    </row>
    <row r="8393" spans="1:3" ht="31.5" x14ac:dyDescent="0.25">
      <c r="A8393" s="12" t="s">
        <v>13369</v>
      </c>
      <c r="B8393" s="78" t="s">
        <v>15770</v>
      </c>
      <c r="C8393" s="101">
        <v>2441</v>
      </c>
    </row>
    <row r="8394" spans="1:3" ht="31.5" x14ac:dyDescent="0.25">
      <c r="A8394" s="118" t="s">
        <v>13370</v>
      </c>
      <c r="B8394" s="116" t="s">
        <v>13371</v>
      </c>
      <c r="C8394" s="102">
        <v>2449</v>
      </c>
    </row>
    <row r="8395" spans="1:3" x14ac:dyDescent="0.25">
      <c r="A8395" s="118" t="s">
        <v>15771</v>
      </c>
      <c r="B8395" s="116" t="s">
        <v>13372</v>
      </c>
      <c r="C8395" s="102">
        <v>2449</v>
      </c>
    </row>
    <row r="8396" spans="1:3" x14ac:dyDescent="0.25">
      <c r="A8396" s="163" t="s">
        <v>13373</v>
      </c>
      <c r="B8396" s="78" t="s">
        <v>15772</v>
      </c>
      <c r="C8396" s="101">
        <v>2464</v>
      </c>
    </row>
    <row r="8397" spans="1:3" ht="31.5" x14ac:dyDescent="0.25">
      <c r="A8397" s="118" t="s">
        <v>13374</v>
      </c>
      <c r="B8397" s="116" t="s">
        <v>13375</v>
      </c>
      <c r="C8397" s="102">
        <v>2474</v>
      </c>
    </row>
    <row r="8398" spans="1:3" ht="31.5" x14ac:dyDescent="0.25">
      <c r="A8398" s="163" t="s">
        <v>13376</v>
      </c>
      <c r="B8398" s="78" t="s">
        <v>15773</v>
      </c>
      <c r="C8398" s="101">
        <v>2495</v>
      </c>
    </row>
    <row r="8399" spans="1:3" ht="31.5" x14ac:dyDescent="0.25">
      <c r="A8399" s="118" t="s">
        <v>13377</v>
      </c>
      <c r="B8399" s="116" t="s">
        <v>13378</v>
      </c>
      <c r="C8399" s="102">
        <v>2500</v>
      </c>
    </row>
    <row r="8400" spans="1:3" ht="31.5" x14ac:dyDescent="0.25">
      <c r="A8400" s="163" t="s">
        <v>13379</v>
      </c>
      <c r="B8400" s="78" t="s">
        <v>15774</v>
      </c>
      <c r="C8400" s="101">
        <v>2500</v>
      </c>
    </row>
    <row r="8401" spans="1:3" x14ac:dyDescent="0.25">
      <c r="A8401" s="118" t="s">
        <v>13380</v>
      </c>
      <c r="B8401" s="116" t="s">
        <v>13381</v>
      </c>
      <c r="C8401" s="102">
        <v>2510</v>
      </c>
    </row>
    <row r="8402" spans="1:3" ht="31.5" x14ac:dyDescent="0.25">
      <c r="A8402" s="163" t="s">
        <v>13382</v>
      </c>
      <c r="B8402" s="78" t="s">
        <v>15775</v>
      </c>
      <c r="C8402" s="94">
        <v>2523</v>
      </c>
    </row>
    <row r="8403" spans="1:3" x14ac:dyDescent="0.25">
      <c r="A8403" s="163" t="s">
        <v>13383</v>
      </c>
      <c r="B8403" s="78" t="s">
        <v>13384</v>
      </c>
      <c r="C8403" s="101">
        <v>2529</v>
      </c>
    </row>
    <row r="8404" spans="1:3" x14ac:dyDescent="0.25">
      <c r="A8404" s="118" t="s">
        <v>13385</v>
      </c>
      <c r="B8404" s="116" t="s">
        <v>13386</v>
      </c>
      <c r="C8404" s="102">
        <v>2572</v>
      </c>
    </row>
    <row r="8405" spans="1:3" x14ac:dyDescent="0.25">
      <c r="A8405" s="118" t="s">
        <v>13387</v>
      </c>
      <c r="B8405" s="116" t="s">
        <v>13388</v>
      </c>
      <c r="C8405" s="102">
        <v>2572</v>
      </c>
    </row>
    <row r="8406" spans="1:3" x14ac:dyDescent="0.25">
      <c r="A8406" s="118" t="s">
        <v>13389</v>
      </c>
      <c r="B8406" s="116" t="s">
        <v>13390</v>
      </c>
      <c r="C8406" s="102">
        <v>2572</v>
      </c>
    </row>
    <row r="8407" spans="1:3" x14ac:dyDescent="0.25">
      <c r="A8407" s="118" t="s">
        <v>15776</v>
      </c>
      <c r="B8407" s="116" t="s">
        <v>13391</v>
      </c>
      <c r="C8407" s="102">
        <v>2572</v>
      </c>
    </row>
    <row r="8408" spans="1:3" x14ac:dyDescent="0.25">
      <c r="A8408" s="163" t="s">
        <v>15777</v>
      </c>
      <c r="B8408" s="116" t="s">
        <v>13392</v>
      </c>
      <c r="C8408" s="102">
        <v>2572</v>
      </c>
    </row>
    <row r="8409" spans="1:3" x14ac:dyDescent="0.25">
      <c r="A8409" s="163" t="s">
        <v>13393</v>
      </c>
      <c r="B8409" s="78" t="s">
        <v>13394</v>
      </c>
      <c r="C8409" s="101">
        <v>2600</v>
      </c>
    </row>
    <row r="8410" spans="1:3" x14ac:dyDescent="0.25">
      <c r="A8410" s="118" t="s">
        <v>13395</v>
      </c>
      <c r="B8410" s="116" t="s">
        <v>13396</v>
      </c>
      <c r="C8410" s="102">
        <v>2632</v>
      </c>
    </row>
    <row r="8411" spans="1:3" ht="31.5" x14ac:dyDescent="0.25">
      <c r="A8411" s="118" t="s">
        <v>13397</v>
      </c>
      <c r="B8411" s="116" t="s">
        <v>13398</v>
      </c>
      <c r="C8411" s="102">
        <v>2688</v>
      </c>
    </row>
    <row r="8412" spans="1:3" x14ac:dyDescent="0.25">
      <c r="A8412" s="118" t="s">
        <v>13399</v>
      </c>
      <c r="B8412" s="116" t="s">
        <v>13400</v>
      </c>
      <c r="C8412" s="102">
        <v>2714</v>
      </c>
    </row>
    <row r="8413" spans="1:3" x14ac:dyDescent="0.25">
      <c r="A8413" s="118" t="s">
        <v>13401</v>
      </c>
      <c r="B8413" s="78" t="s">
        <v>13402</v>
      </c>
      <c r="C8413" s="102">
        <v>2783</v>
      </c>
    </row>
    <row r="8414" spans="1:3" x14ac:dyDescent="0.25">
      <c r="A8414" s="163" t="s">
        <v>15778</v>
      </c>
      <c r="B8414" s="78" t="s">
        <v>13403</v>
      </c>
      <c r="C8414" s="102">
        <v>2783</v>
      </c>
    </row>
    <row r="8415" spans="1:3" x14ac:dyDescent="0.25">
      <c r="A8415" s="118" t="s">
        <v>13404</v>
      </c>
      <c r="B8415" s="116" t="s">
        <v>13405</v>
      </c>
      <c r="C8415" s="102">
        <v>2783</v>
      </c>
    </row>
    <row r="8416" spans="1:3" x14ac:dyDescent="0.25">
      <c r="A8416" s="118" t="s">
        <v>13406</v>
      </c>
      <c r="B8416" s="116" t="s">
        <v>13407</v>
      </c>
      <c r="C8416" s="102">
        <v>2857</v>
      </c>
    </row>
    <row r="8417" spans="1:3" ht="31.5" x14ac:dyDescent="0.25">
      <c r="A8417" s="118" t="s">
        <v>13408</v>
      </c>
      <c r="B8417" s="116" t="s">
        <v>13409</v>
      </c>
      <c r="C8417" s="102">
        <v>2860</v>
      </c>
    </row>
    <row r="8418" spans="1:3" x14ac:dyDescent="0.25">
      <c r="A8418" s="118" t="s">
        <v>15779</v>
      </c>
      <c r="B8418" s="78" t="s">
        <v>13410</v>
      </c>
      <c r="C8418" s="102">
        <v>2900</v>
      </c>
    </row>
    <row r="8419" spans="1:3" x14ac:dyDescent="0.25">
      <c r="A8419" s="118" t="s">
        <v>13411</v>
      </c>
      <c r="B8419" s="78" t="s">
        <v>15780</v>
      </c>
      <c r="C8419" s="102">
        <v>2900</v>
      </c>
    </row>
    <row r="8420" spans="1:3" ht="31.5" x14ac:dyDescent="0.25">
      <c r="A8420" s="163" t="s">
        <v>13412</v>
      </c>
      <c r="B8420" s="78" t="s">
        <v>13413</v>
      </c>
      <c r="C8420" s="94">
        <v>2900</v>
      </c>
    </row>
    <row r="8421" spans="1:3" x14ac:dyDescent="0.25">
      <c r="A8421" s="118" t="s">
        <v>13414</v>
      </c>
      <c r="B8421" s="116" t="s">
        <v>13415</v>
      </c>
      <c r="C8421" s="102">
        <v>3000</v>
      </c>
    </row>
    <row r="8422" spans="1:3" ht="31.5" x14ac:dyDescent="0.25">
      <c r="A8422" s="118" t="s">
        <v>13416</v>
      </c>
      <c r="B8422" s="116" t="s">
        <v>13417</v>
      </c>
      <c r="C8422" s="102">
        <v>3000</v>
      </c>
    </row>
    <row r="8423" spans="1:3" ht="47.25" x14ac:dyDescent="0.25">
      <c r="A8423" s="163" t="s">
        <v>13418</v>
      </c>
      <c r="B8423" s="78" t="s">
        <v>15781</v>
      </c>
      <c r="C8423" s="94">
        <v>3003</v>
      </c>
    </row>
    <row r="8424" spans="1:3" x14ac:dyDescent="0.25">
      <c r="A8424" s="163" t="s">
        <v>13419</v>
      </c>
      <c r="B8424" s="78" t="s">
        <v>13420</v>
      </c>
      <c r="C8424" s="94">
        <v>3061</v>
      </c>
    </row>
    <row r="8425" spans="1:3" ht="15.75" customHeight="1" x14ac:dyDescent="0.25">
      <c r="A8425" s="12" t="s">
        <v>13421</v>
      </c>
      <c r="B8425" s="78" t="s">
        <v>13422</v>
      </c>
      <c r="C8425" s="101">
        <v>3093</v>
      </c>
    </row>
    <row r="8426" spans="1:3" ht="47.25" x14ac:dyDescent="0.25">
      <c r="A8426" s="163" t="s">
        <v>13423</v>
      </c>
      <c r="B8426" s="78" t="s">
        <v>15782</v>
      </c>
      <c r="C8426" s="94">
        <v>3119</v>
      </c>
    </row>
    <row r="8427" spans="1:3" ht="31.5" x14ac:dyDescent="0.25">
      <c r="A8427" s="118" t="s">
        <v>13424</v>
      </c>
      <c r="B8427" s="116" t="s">
        <v>13425</v>
      </c>
      <c r="C8427" s="102">
        <v>3150</v>
      </c>
    </row>
    <row r="8428" spans="1:3" ht="31.5" x14ac:dyDescent="0.25">
      <c r="A8428" s="163" t="s">
        <v>13426</v>
      </c>
      <c r="B8428" s="78" t="s">
        <v>13427</v>
      </c>
      <c r="C8428" s="101">
        <v>3193</v>
      </c>
    </row>
    <row r="8429" spans="1:3" ht="31.5" x14ac:dyDescent="0.25">
      <c r="A8429" s="163" t="s">
        <v>13428</v>
      </c>
      <c r="B8429" s="78" t="s">
        <v>13429</v>
      </c>
      <c r="C8429" s="94">
        <v>3200</v>
      </c>
    </row>
    <row r="8430" spans="1:3" ht="31.5" x14ac:dyDescent="0.25">
      <c r="A8430" s="163" t="s">
        <v>13430</v>
      </c>
      <c r="B8430" s="78" t="s">
        <v>13431</v>
      </c>
      <c r="C8430" s="101">
        <v>3234</v>
      </c>
    </row>
    <row r="8431" spans="1:3" ht="47.25" x14ac:dyDescent="0.25">
      <c r="A8431" s="163" t="s">
        <v>13432</v>
      </c>
      <c r="B8431" s="114" t="s">
        <v>15783</v>
      </c>
      <c r="C8431" s="102">
        <v>3300</v>
      </c>
    </row>
    <row r="8432" spans="1:3" ht="47.25" x14ac:dyDescent="0.25">
      <c r="A8432" s="163" t="s">
        <v>13433</v>
      </c>
      <c r="B8432" s="78" t="s">
        <v>15784</v>
      </c>
      <c r="C8432" s="94">
        <v>3304</v>
      </c>
    </row>
    <row r="8433" spans="1:3" x14ac:dyDescent="0.25">
      <c r="A8433" s="118" t="s">
        <v>13434</v>
      </c>
      <c r="B8433" s="116" t="s">
        <v>13435</v>
      </c>
      <c r="C8433" s="102">
        <v>3307</v>
      </c>
    </row>
    <row r="8434" spans="1:3" x14ac:dyDescent="0.25">
      <c r="A8434" s="118" t="s">
        <v>13436</v>
      </c>
      <c r="B8434" s="116" t="s">
        <v>13437</v>
      </c>
      <c r="C8434" s="102">
        <v>3307</v>
      </c>
    </row>
    <row r="8435" spans="1:3" x14ac:dyDescent="0.25">
      <c r="A8435" s="118" t="s">
        <v>15785</v>
      </c>
      <c r="B8435" s="116" t="s">
        <v>13438</v>
      </c>
      <c r="C8435" s="102">
        <v>3307</v>
      </c>
    </row>
    <row r="8436" spans="1:3" ht="31.5" x14ac:dyDescent="0.25">
      <c r="A8436" s="163" t="s">
        <v>13439</v>
      </c>
      <c r="B8436" s="78" t="s">
        <v>13440</v>
      </c>
      <c r="C8436" s="101">
        <v>3350</v>
      </c>
    </row>
    <row r="8437" spans="1:3" ht="31.5" x14ac:dyDescent="0.25">
      <c r="A8437" s="163" t="s">
        <v>13441</v>
      </c>
      <c r="B8437" s="116" t="s">
        <v>13442</v>
      </c>
      <c r="C8437" s="102">
        <v>3374</v>
      </c>
    </row>
    <row r="8438" spans="1:3" ht="31.5" x14ac:dyDescent="0.25">
      <c r="A8438" s="118" t="s">
        <v>13443</v>
      </c>
      <c r="B8438" s="116" t="s">
        <v>13444</v>
      </c>
      <c r="C8438" s="102">
        <v>3374</v>
      </c>
    </row>
    <row r="8439" spans="1:3" ht="31.5" x14ac:dyDescent="0.25">
      <c r="A8439" s="118" t="s">
        <v>13445</v>
      </c>
      <c r="B8439" s="116" t="s">
        <v>13446</v>
      </c>
      <c r="C8439" s="102">
        <v>3400</v>
      </c>
    </row>
    <row r="8440" spans="1:3" x14ac:dyDescent="0.25">
      <c r="A8440" s="118" t="s">
        <v>13447</v>
      </c>
      <c r="B8440" s="116" t="s">
        <v>13448</v>
      </c>
      <c r="C8440" s="102">
        <v>3400</v>
      </c>
    </row>
    <row r="8441" spans="1:3" x14ac:dyDescent="0.25">
      <c r="A8441" s="118" t="s">
        <v>13449</v>
      </c>
      <c r="B8441" s="78" t="s">
        <v>13450</v>
      </c>
      <c r="C8441" s="94">
        <v>3400</v>
      </c>
    </row>
    <row r="8442" spans="1:3" ht="31.5" x14ac:dyDescent="0.25">
      <c r="A8442" s="163" t="s">
        <v>13451</v>
      </c>
      <c r="B8442" s="78" t="s">
        <v>13452</v>
      </c>
      <c r="C8442" s="101">
        <v>3408</v>
      </c>
    </row>
    <row r="8443" spans="1:3" ht="47.25" x14ac:dyDescent="0.25">
      <c r="A8443" s="163" t="s">
        <v>13453</v>
      </c>
      <c r="B8443" s="78" t="s">
        <v>15786</v>
      </c>
      <c r="C8443" s="94">
        <v>3420</v>
      </c>
    </row>
    <row r="8444" spans="1:3" x14ac:dyDescent="0.25">
      <c r="A8444" s="122" t="s">
        <v>13454</v>
      </c>
      <c r="B8444" s="116" t="s">
        <v>13455</v>
      </c>
      <c r="C8444" s="102">
        <v>3429</v>
      </c>
    </row>
    <row r="8445" spans="1:3" ht="47.25" x14ac:dyDescent="0.25">
      <c r="A8445" s="163" t="s">
        <v>13456</v>
      </c>
      <c r="B8445" s="78" t="s">
        <v>13457</v>
      </c>
      <c r="C8445" s="94">
        <v>3450</v>
      </c>
    </row>
    <row r="8446" spans="1:3" ht="31.5" x14ac:dyDescent="0.25">
      <c r="A8446" s="118" t="s">
        <v>13458</v>
      </c>
      <c r="B8446" s="116" t="s">
        <v>13459</v>
      </c>
      <c r="C8446" s="102">
        <v>3500</v>
      </c>
    </row>
    <row r="8447" spans="1:3" ht="31.5" x14ac:dyDescent="0.25">
      <c r="A8447" s="163" t="s">
        <v>13460</v>
      </c>
      <c r="B8447" s="78" t="s">
        <v>13461</v>
      </c>
      <c r="C8447" s="101">
        <v>3523</v>
      </c>
    </row>
    <row r="8448" spans="1:3" x14ac:dyDescent="0.25">
      <c r="A8448" s="163" t="s">
        <v>13462</v>
      </c>
      <c r="B8448" s="78" t="s">
        <v>13463</v>
      </c>
      <c r="C8448" s="102">
        <v>3525</v>
      </c>
    </row>
    <row r="8449" spans="1:3" ht="31.5" x14ac:dyDescent="0.25">
      <c r="A8449" s="118" t="s">
        <v>13464</v>
      </c>
      <c r="B8449" s="78" t="s">
        <v>13465</v>
      </c>
      <c r="C8449" s="94">
        <v>3550</v>
      </c>
    </row>
    <row r="8450" spans="1:3" ht="31.5" x14ac:dyDescent="0.25">
      <c r="A8450" s="12" t="s">
        <v>13466</v>
      </c>
      <c r="B8450" s="78" t="s">
        <v>15787</v>
      </c>
      <c r="C8450" s="101">
        <v>3565</v>
      </c>
    </row>
    <row r="8451" spans="1:3" x14ac:dyDescent="0.25">
      <c r="A8451" s="118" t="s">
        <v>15788</v>
      </c>
      <c r="B8451" s="116" t="s">
        <v>13467</v>
      </c>
      <c r="C8451" s="102">
        <v>3571</v>
      </c>
    </row>
    <row r="8452" spans="1:3" ht="47.25" x14ac:dyDescent="0.25">
      <c r="A8452" s="118" t="s">
        <v>13468</v>
      </c>
      <c r="B8452" s="116" t="s">
        <v>13469</v>
      </c>
      <c r="C8452" s="109">
        <v>3571</v>
      </c>
    </row>
    <row r="8453" spans="1:3" x14ac:dyDescent="0.25">
      <c r="A8453" s="118" t="s">
        <v>13470</v>
      </c>
      <c r="B8453" s="116" t="s">
        <v>13471</v>
      </c>
      <c r="C8453" s="102">
        <v>3571</v>
      </c>
    </row>
    <row r="8454" spans="1:3" x14ac:dyDescent="0.25">
      <c r="A8454" s="118" t="s">
        <v>13472</v>
      </c>
      <c r="B8454" s="116" t="s">
        <v>13473</v>
      </c>
      <c r="C8454" s="102">
        <v>3571</v>
      </c>
    </row>
    <row r="8455" spans="1:3" ht="31.5" x14ac:dyDescent="0.25">
      <c r="A8455" s="163" t="s">
        <v>13474</v>
      </c>
      <c r="B8455" s="78" t="s">
        <v>15789</v>
      </c>
      <c r="C8455" s="101">
        <v>3681</v>
      </c>
    </row>
    <row r="8456" spans="1:3" ht="31.5" x14ac:dyDescent="0.25">
      <c r="A8456" s="118" t="s">
        <v>13475</v>
      </c>
      <c r="B8456" s="116" t="s">
        <v>13476</v>
      </c>
      <c r="C8456" s="102">
        <v>3696</v>
      </c>
    </row>
    <row r="8457" spans="1:3" x14ac:dyDescent="0.25">
      <c r="A8457" s="118" t="s">
        <v>13477</v>
      </c>
      <c r="B8457" s="116" t="s">
        <v>13478</v>
      </c>
      <c r="C8457" s="102">
        <v>3714</v>
      </c>
    </row>
    <row r="8458" spans="1:3" x14ac:dyDescent="0.25">
      <c r="A8458" s="118" t="s">
        <v>15790</v>
      </c>
      <c r="B8458" s="116" t="s">
        <v>13479</v>
      </c>
      <c r="C8458" s="102">
        <v>3714</v>
      </c>
    </row>
    <row r="8459" spans="1:3" x14ac:dyDescent="0.25">
      <c r="A8459" s="163" t="s">
        <v>13480</v>
      </c>
      <c r="B8459" s="78" t="s">
        <v>13481</v>
      </c>
      <c r="C8459" s="94">
        <v>3725</v>
      </c>
    </row>
    <row r="8460" spans="1:3" ht="31.5" x14ac:dyDescent="0.25">
      <c r="A8460" s="118" t="s">
        <v>13482</v>
      </c>
      <c r="B8460" s="116" t="s">
        <v>13483</v>
      </c>
      <c r="C8460" s="102">
        <v>3918</v>
      </c>
    </row>
    <row r="8461" spans="1:3" ht="31.5" x14ac:dyDescent="0.25">
      <c r="A8461" s="118" t="s">
        <v>13484</v>
      </c>
      <c r="B8461" s="116" t="s">
        <v>13485</v>
      </c>
      <c r="C8461" s="102">
        <v>3927</v>
      </c>
    </row>
    <row r="8462" spans="1:3" ht="31.5" x14ac:dyDescent="0.25">
      <c r="A8462" s="118" t="s">
        <v>13486</v>
      </c>
      <c r="B8462" s="116" t="s">
        <v>13487</v>
      </c>
      <c r="C8462" s="102">
        <v>3927</v>
      </c>
    </row>
    <row r="8463" spans="1:3" ht="31.5" x14ac:dyDescent="0.25">
      <c r="A8463" s="118" t="s">
        <v>13488</v>
      </c>
      <c r="B8463" s="116" t="s">
        <v>13489</v>
      </c>
      <c r="C8463" s="102">
        <v>3927</v>
      </c>
    </row>
    <row r="8464" spans="1:3" ht="31.5" x14ac:dyDescent="0.25">
      <c r="A8464" s="118" t="s">
        <v>13490</v>
      </c>
      <c r="B8464" s="116" t="s">
        <v>13491</v>
      </c>
      <c r="C8464" s="102">
        <v>3927</v>
      </c>
    </row>
    <row r="8465" spans="1:3" x14ac:dyDescent="0.25">
      <c r="A8465" s="118" t="s">
        <v>13492</v>
      </c>
      <c r="B8465" s="116" t="s">
        <v>13493</v>
      </c>
      <c r="C8465" s="102">
        <v>3960</v>
      </c>
    </row>
    <row r="8466" spans="1:3" x14ac:dyDescent="0.25">
      <c r="A8466" s="118" t="s">
        <v>13494</v>
      </c>
      <c r="B8466" s="116" t="s">
        <v>13495</v>
      </c>
      <c r="C8466" s="102">
        <v>4000</v>
      </c>
    </row>
    <row r="8467" spans="1:3" ht="31.5" x14ac:dyDescent="0.25">
      <c r="A8467" s="118" t="s">
        <v>13496</v>
      </c>
      <c r="B8467" s="116" t="s">
        <v>13497</v>
      </c>
      <c r="C8467" s="102">
        <v>4000</v>
      </c>
    </row>
    <row r="8468" spans="1:3" ht="31.5" x14ac:dyDescent="0.25">
      <c r="A8468" s="118" t="s">
        <v>13498</v>
      </c>
      <c r="B8468" s="116" t="s">
        <v>13499</v>
      </c>
      <c r="C8468" s="102">
        <v>4000</v>
      </c>
    </row>
    <row r="8469" spans="1:3" ht="47.25" x14ac:dyDescent="0.25">
      <c r="A8469" s="118" t="s">
        <v>15791</v>
      </c>
      <c r="B8469" s="116" t="s">
        <v>13500</v>
      </c>
      <c r="C8469" s="102">
        <v>4000</v>
      </c>
    </row>
    <row r="8470" spans="1:3" ht="31.5" x14ac:dyDescent="0.25">
      <c r="A8470" s="118" t="s">
        <v>13501</v>
      </c>
      <c r="B8470" s="78" t="s">
        <v>13502</v>
      </c>
      <c r="C8470" s="102">
        <v>4000</v>
      </c>
    </row>
    <row r="8471" spans="1:3" ht="31.5" x14ac:dyDescent="0.25">
      <c r="A8471" s="118" t="s">
        <v>13503</v>
      </c>
      <c r="B8471" s="116" t="s">
        <v>13504</v>
      </c>
      <c r="C8471" s="102">
        <v>4285</v>
      </c>
    </row>
    <row r="8472" spans="1:3" ht="31.5" x14ac:dyDescent="0.25">
      <c r="A8472" s="118" t="s">
        <v>13505</v>
      </c>
      <c r="B8472" s="116" t="s">
        <v>13506</v>
      </c>
      <c r="C8472" s="102">
        <v>4285</v>
      </c>
    </row>
    <row r="8473" spans="1:3" x14ac:dyDescent="0.25">
      <c r="A8473" s="118" t="s">
        <v>13507</v>
      </c>
      <c r="B8473" s="116" t="s">
        <v>13508</v>
      </c>
      <c r="C8473" s="102">
        <v>4285</v>
      </c>
    </row>
    <row r="8474" spans="1:3" x14ac:dyDescent="0.25">
      <c r="A8474" s="118" t="s">
        <v>15792</v>
      </c>
      <c r="B8474" s="116" t="s">
        <v>13509</v>
      </c>
      <c r="C8474" s="102">
        <v>4285</v>
      </c>
    </row>
    <row r="8475" spans="1:3" x14ac:dyDescent="0.25">
      <c r="A8475" s="118" t="s">
        <v>13510</v>
      </c>
      <c r="B8475" s="116" t="s">
        <v>13511</v>
      </c>
      <c r="C8475" s="102">
        <v>4285</v>
      </c>
    </row>
    <row r="8476" spans="1:3" ht="31.5" x14ac:dyDescent="0.25">
      <c r="A8476" s="118" t="s">
        <v>13512</v>
      </c>
      <c r="B8476" s="116" t="s">
        <v>13513</v>
      </c>
      <c r="C8476" s="102">
        <v>4285</v>
      </c>
    </row>
    <row r="8477" spans="1:3" x14ac:dyDescent="0.25">
      <c r="A8477" s="118" t="s">
        <v>13514</v>
      </c>
      <c r="B8477" s="116" t="s">
        <v>13515</v>
      </c>
      <c r="C8477" s="102">
        <v>4285</v>
      </c>
    </row>
    <row r="8478" spans="1:3" ht="31.5" x14ac:dyDescent="0.25">
      <c r="A8478" s="163" t="s">
        <v>13516</v>
      </c>
      <c r="B8478" s="78" t="s">
        <v>13517</v>
      </c>
      <c r="C8478" s="94">
        <v>4400</v>
      </c>
    </row>
    <row r="8479" spans="1:3" ht="31.5" x14ac:dyDescent="0.25">
      <c r="A8479" s="163" t="s">
        <v>13518</v>
      </c>
      <c r="B8479" s="78" t="s">
        <v>13519</v>
      </c>
      <c r="C8479" s="102">
        <v>4500</v>
      </c>
    </row>
    <row r="8480" spans="1:3" ht="47.25" x14ac:dyDescent="0.25">
      <c r="A8480" s="118" t="s">
        <v>13520</v>
      </c>
      <c r="B8480" s="116" t="s">
        <v>13521</v>
      </c>
      <c r="C8480" s="102">
        <v>4500</v>
      </c>
    </row>
    <row r="8481" spans="1:3" ht="31.5" x14ac:dyDescent="0.25">
      <c r="A8481" s="118" t="s">
        <v>13522</v>
      </c>
      <c r="B8481" s="78" t="s">
        <v>13523</v>
      </c>
      <c r="C8481" s="94">
        <v>4500</v>
      </c>
    </row>
    <row r="8482" spans="1:3" ht="31.5" x14ac:dyDescent="0.25">
      <c r="A8482" s="118" t="s">
        <v>13524</v>
      </c>
      <c r="B8482" s="78" t="s">
        <v>13525</v>
      </c>
      <c r="C8482" s="102">
        <v>4500</v>
      </c>
    </row>
    <row r="8483" spans="1:3" x14ac:dyDescent="0.25">
      <c r="A8483" s="118" t="s">
        <v>13526</v>
      </c>
      <c r="B8483" s="116" t="s">
        <v>13527</v>
      </c>
      <c r="C8483" s="102">
        <v>4571</v>
      </c>
    </row>
    <row r="8484" spans="1:3" x14ac:dyDescent="0.25">
      <c r="A8484" s="163" t="s">
        <v>13528</v>
      </c>
      <c r="B8484" s="78" t="s">
        <v>13529</v>
      </c>
      <c r="C8484" s="94">
        <v>4625</v>
      </c>
    </row>
    <row r="8485" spans="1:3" x14ac:dyDescent="0.25">
      <c r="A8485" s="163" t="s">
        <v>13530</v>
      </c>
      <c r="B8485" s="78" t="s">
        <v>13531</v>
      </c>
      <c r="C8485" s="94">
        <v>4825</v>
      </c>
    </row>
    <row r="8486" spans="1:3" x14ac:dyDescent="0.25">
      <c r="A8486" s="118" t="s">
        <v>13532</v>
      </c>
      <c r="B8486" s="116" t="s">
        <v>13533</v>
      </c>
      <c r="C8486" s="102">
        <v>5000</v>
      </c>
    </row>
    <row r="8487" spans="1:3" ht="31.5" x14ac:dyDescent="0.25">
      <c r="A8487" s="163" t="s">
        <v>13534</v>
      </c>
      <c r="B8487" s="78" t="s">
        <v>13535</v>
      </c>
      <c r="C8487" s="102">
        <v>5573</v>
      </c>
    </row>
    <row r="8488" spans="1:3" ht="31.5" x14ac:dyDescent="0.25">
      <c r="A8488" s="163" t="s">
        <v>13536</v>
      </c>
      <c r="B8488" s="78" t="s">
        <v>13537</v>
      </c>
      <c r="C8488" s="102">
        <v>5616</v>
      </c>
    </row>
    <row r="8489" spans="1:3" x14ac:dyDescent="0.25">
      <c r="A8489" s="118" t="s">
        <v>13538</v>
      </c>
      <c r="B8489" s="116" t="s">
        <v>13539</v>
      </c>
      <c r="C8489" s="102">
        <v>5713</v>
      </c>
    </row>
    <row r="8490" spans="1:3" x14ac:dyDescent="0.25">
      <c r="A8490" s="118" t="s">
        <v>15793</v>
      </c>
      <c r="B8490" s="116" t="s">
        <v>13540</v>
      </c>
      <c r="C8490" s="102">
        <v>5713</v>
      </c>
    </row>
    <row r="8491" spans="1:3" x14ac:dyDescent="0.25">
      <c r="A8491" s="118" t="s">
        <v>13541</v>
      </c>
      <c r="B8491" s="116" t="s">
        <v>13542</v>
      </c>
      <c r="C8491" s="102">
        <v>5775</v>
      </c>
    </row>
    <row r="8492" spans="1:3" x14ac:dyDescent="0.25">
      <c r="A8492" s="118" t="s">
        <v>13543</v>
      </c>
      <c r="B8492" s="116" t="s">
        <v>13544</v>
      </c>
      <c r="C8492" s="102">
        <v>5999</v>
      </c>
    </row>
    <row r="8493" spans="1:3" x14ac:dyDescent="0.25">
      <c r="A8493" s="118" t="s">
        <v>13545</v>
      </c>
      <c r="B8493" s="116" t="s">
        <v>13546</v>
      </c>
      <c r="C8493" s="102">
        <v>6000</v>
      </c>
    </row>
    <row r="8494" spans="1:3" ht="31.5" x14ac:dyDescent="0.25">
      <c r="A8494" s="163" t="s">
        <v>13547</v>
      </c>
      <c r="B8494" s="78" t="s">
        <v>13548</v>
      </c>
      <c r="C8494" s="94">
        <v>6086</v>
      </c>
    </row>
    <row r="8495" spans="1:3" ht="31.5" x14ac:dyDescent="0.25">
      <c r="A8495" s="163" t="s">
        <v>13549</v>
      </c>
      <c r="B8495" s="78" t="s">
        <v>13550</v>
      </c>
      <c r="C8495" s="94">
        <v>6116</v>
      </c>
    </row>
    <row r="8496" spans="1:3" x14ac:dyDescent="0.25">
      <c r="A8496" s="118" t="s">
        <v>13551</v>
      </c>
      <c r="B8496" s="116" t="s">
        <v>13552</v>
      </c>
      <c r="C8496" s="102">
        <v>6300</v>
      </c>
    </row>
    <row r="8497" spans="1:3" ht="31.5" x14ac:dyDescent="0.25">
      <c r="A8497" s="118" t="s">
        <v>13553</v>
      </c>
      <c r="B8497" s="116" t="s">
        <v>13554</v>
      </c>
      <c r="C8497" s="102">
        <v>6353</v>
      </c>
    </row>
    <row r="8498" spans="1:3" x14ac:dyDescent="0.25">
      <c r="A8498" s="118" t="s">
        <v>13555</v>
      </c>
      <c r="B8498" s="116" t="s">
        <v>13556</v>
      </c>
      <c r="C8498" s="102">
        <v>6428</v>
      </c>
    </row>
    <row r="8499" spans="1:3" x14ac:dyDescent="0.25">
      <c r="A8499" s="118" t="s">
        <v>13557</v>
      </c>
      <c r="B8499" s="116" t="s">
        <v>13558</v>
      </c>
      <c r="C8499" s="102">
        <v>6428</v>
      </c>
    </row>
    <row r="8500" spans="1:3" x14ac:dyDescent="0.25">
      <c r="A8500" s="118" t="s">
        <v>13559</v>
      </c>
      <c r="B8500" s="116" t="s">
        <v>13560</v>
      </c>
      <c r="C8500" s="102">
        <v>6428</v>
      </c>
    </row>
    <row r="8501" spans="1:3" x14ac:dyDescent="0.25">
      <c r="A8501" s="118" t="s">
        <v>13561</v>
      </c>
      <c r="B8501" s="116" t="s">
        <v>13562</v>
      </c>
      <c r="C8501" s="102">
        <v>6428</v>
      </c>
    </row>
    <row r="8502" spans="1:3" x14ac:dyDescent="0.25">
      <c r="A8502" s="118" t="s">
        <v>13563</v>
      </c>
      <c r="B8502" s="116" t="s">
        <v>13564</v>
      </c>
      <c r="C8502" s="102">
        <v>6928</v>
      </c>
    </row>
    <row r="8503" spans="1:3" ht="47.25" x14ac:dyDescent="0.25">
      <c r="A8503" s="163" t="s">
        <v>13565</v>
      </c>
      <c r="B8503" s="78" t="s">
        <v>13566</v>
      </c>
      <c r="C8503" s="102">
        <v>7000</v>
      </c>
    </row>
    <row r="8504" spans="1:3" x14ac:dyDescent="0.25">
      <c r="A8504" s="118" t="s">
        <v>15794</v>
      </c>
      <c r="B8504" s="116" t="s">
        <v>13567</v>
      </c>
      <c r="C8504" s="102">
        <v>7102</v>
      </c>
    </row>
    <row r="8505" spans="1:3" ht="31.5" x14ac:dyDescent="0.25">
      <c r="A8505" s="118" t="s">
        <v>13568</v>
      </c>
      <c r="B8505" s="116" t="s">
        <v>13569</v>
      </c>
      <c r="C8505" s="102">
        <v>7135</v>
      </c>
    </row>
    <row r="8506" spans="1:3" x14ac:dyDescent="0.25">
      <c r="A8506" s="118" t="s">
        <v>13570</v>
      </c>
      <c r="B8506" s="116" t="s">
        <v>13571</v>
      </c>
      <c r="C8506" s="102">
        <v>7142</v>
      </c>
    </row>
    <row r="8507" spans="1:3" x14ac:dyDescent="0.25">
      <c r="A8507" s="118" t="s">
        <v>13572</v>
      </c>
      <c r="B8507" s="116" t="s">
        <v>13573</v>
      </c>
      <c r="C8507" s="102">
        <v>7142</v>
      </c>
    </row>
    <row r="8508" spans="1:3" x14ac:dyDescent="0.25">
      <c r="A8508" s="118" t="s">
        <v>13574</v>
      </c>
      <c r="B8508" s="116" t="s">
        <v>13575</v>
      </c>
      <c r="C8508" s="102">
        <v>7142</v>
      </c>
    </row>
    <row r="8509" spans="1:3" x14ac:dyDescent="0.25">
      <c r="A8509" s="118" t="s">
        <v>13576</v>
      </c>
      <c r="B8509" s="116" t="s">
        <v>13577</v>
      </c>
      <c r="C8509" s="102">
        <v>7150</v>
      </c>
    </row>
    <row r="8510" spans="1:3" ht="31.5" x14ac:dyDescent="0.25">
      <c r="A8510" s="118" t="s">
        <v>13578</v>
      </c>
      <c r="B8510" s="116" t="s">
        <v>13579</v>
      </c>
      <c r="C8510" s="102">
        <v>7150</v>
      </c>
    </row>
    <row r="8511" spans="1:3" ht="78.75" x14ac:dyDescent="0.25">
      <c r="A8511" s="118" t="s">
        <v>13580</v>
      </c>
      <c r="B8511" s="116" t="s">
        <v>13581</v>
      </c>
      <c r="C8511" s="102">
        <v>7150</v>
      </c>
    </row>
    <row r="8512" spans="1:3" ht="47.25" x14ac:dyDescent="0.25">
      <c r="A8512" s="118" t="s">
        <v>13582</v>
      </c>
      <c r="B8512" s="116" t="s">
        <v>13583</v>
      </c>
      <c r="C8512" s="102">
        <v>7200</v>
      </c>
    </row>
    <row r="8513" spans="1:3" ht="31.5" x14ac:dyDescent="0.25">
      <c r="A8513" s="118" t="s">
        <v>13584</v>
      </c>
      <c r="B8513" s="116" t="s">
        <v>13585</v>
      </c>
      <c r="C8513" s="102">
        <v>7346</v>
      </c>
    </row>
    <row r="8514" spans="1:3" ht="31.5" x14ac:dyDescent="0.25">
      <c r="A8514" s="118" t="s">
        <v>13586</v>
      </c>
      <c r="B8514" s="116" t="s">
        <v>13587</v>
      </c>
      <c r="C8514" s="102">
        <v>7591</v>
      </c>
    </row>
    <row r="8515" spans="1:3" ht="31.5" x14ac:dyDescent="0.25">
      <c r="A8515" s="118" t="s">
        <v>13588</v>
      </c>
      <c r="B8515" s="116" t="s">
        <v>13589</v>
      </c>
      <c r="C8515" s="102">
        <v>7700</v>
      </c>
    </row>
    <row r="8516" spans="1:3" x14ac:dyDescent="0.25">
      <c r="A8516" s="118" t="s">
        <v>13590</v>
      </c>
      <c r="B8516" s="116" t="s">
        <v>13591</v>
      </c>
      <c r="C8516" s="102">
        <v>7708</v>
      </c>
    </row>
    <row r="8517" spans="1:3" ht="31.5" x14ac:dyDescent="0.25">
      <c r="A8517" s="163" t="s">
        <v>13592</v>
      </c>
      <c r="B8517" s="116" t="s">
        <v>13593</v>
      </c>
      <c r="C8517" s="102">
        <v>7854</v>
      </c>
    </row>
    <row r="8518" spans="1:3" ht="47.25" x14ac:dyDescent="0.25">
      <c r="A8518" s="163" t="s">
        <v>13594</v>
      </c>
      <c r="B8518" s="116" t="s">
        <v>13595</v>
      </c>
      <c r="C8518" s="102">
        <v>7854</v>
      </c>
    </row>
    <row r="8519" spans="1:3" ht="31.5" x14ac:dyDescent="0.25">
      <c r="A8519" s="118" t="s">
        <v>13596</v>
      </c>
      <c r="B8519" s="116" t="s">
        <v>13597</v>
      </c>
      <c r="C8519" s="102">
        <v>7856</v>
      </c>
    </row>
    <row r="8520" spans="1:3" ht="31.5" x14ac:dyDescent="0.25">
      <c r="A8520" s="118" t="s">
        <v>13598</v>
      </c>
      <c r="B8520" s="116" t="s">
        <v>13599</v>
      </c>
      <c r="C8520" s="102">
        <v>7959</v>
      </c>
    </row>
    <row r="8521" spans="1:3" ht="31.5" x14ac:dyDescent="0.25">
      <c r="A8521" s="118" t="s">
        <v>13600</v>
      </c>
      <c r="B8521" s="116" t="s">
        <v>13601</v>
      </c>
      <c r="C8521" s="102">
        <v>7959</v>
      </c>
    </row>
    <row r="8522" spans="1:3" x14ac:dyDescent="0.25">
      <c r="A8522" s="118" t="s">
        <v>13602</v>
      </c>
      <c r="B8522" s="116" t="s">
        <v>13603</v>
      </c>
      <c r="C8522" s="102">
        <v>7999</v>
      </c>
    </row>
    <row r="8523" spans="1:3" ht="31.5" x14ac:dyDescent="0.25">
      <c r="A8523" s="118" t="s">
        <v>15795</v>
      </c>
      <c r="B8523" s="116" t="s">
        <v>13604</v>
      </c>
      <c r="C8523" s="102">
        <v>8213</v>
      </c>
    </row>
    <row r="8524" spans="1:3" x14ac:dyDescent="0.25">
      <c r="A8524" s="118" t="s">
        <v>13605</v>
      </c>
      <c r="B8524" s="116" t="s">
        <v>13606</v>
      </c>
      <c r="C8524" s="102">
        <v>8213</v>
      </c>
    </row>
    <row r="8525" spans="1:3" ht="31.5" x14ac:dyDescent="0.25">
      <c r="A8525" s="118" t="s">
        <v>13607</v>
      </c>
      <c r="B8525" s="116" t="s">
        <v>13608</v>
      </c>
      <c r="C8525" s="102">
        <v>8300</v>
      </c>
    </row>
    <row r="8526" spans="1:3" ht="31.5" x14ac:dyDescent="0.25">
      <c r="A8526" s="118" t="s">
        <v>13609</v>
      </c>
      <c r="B8526" s="116" t="s">
        <v>13610</v>
      </c>
      <c r="C8526" s="102">
        <v>8300</v>
      </c>
    </row>
    <row r="8527" spans="1:3" ht="31.5" x14ac:dyDescent="0.25">
      <c r="A8527" s="118" t="s">
        <v>13611</v>
      </c>
      <c r="B8527" s="116" t="s">
        <v>13612</v>
      </c>
      <c r="C8527" s="102">
        <v>8570</v>
      </c>
    </row>
    <row r="8528" spans="1:3" ht="31.5" x14ac:dyDescent="0.25">
      <c r="A8528" s="118" t="s">
        <v>13613</v>
      </c>
      <c r="B8528" s="116" t="s">
        <v>13614</v>
      </c>
      <c r="C8528" s="102">
        <v>8570</v>
      </c>
    </row>
    <row r="8529" spans="1:3" x14ac:dyDescent="0.25">
      <c r="A8529" s="118" t="s">
        <v>13615</v>
      </c>
      <c r="B8529" s="116" t="s">
        <v>13616</v>
      </c>
      <c r="C8529" s="102">
        <v>8600</v>
      </c>
    </row>
    <row r="8530" spans="1:3" ht="31.5" x14ac:dyDescent="0.25">
      <c r="A8530" s="118" t="s">
        <v>13617</v>
      </c>
      <c r="B8530" s="116" t="s">
        <v>13618</v>
      </c>
      <c r="C8530" s="102">
        <v>8700</v>
      </c>
    </row>
    <row r="8531" spans="1:3" x14ac:dyDescent="0.25">
      <c r="A8531" s="118" t="s">
        <v>13619</v>
      </c>
      <c r="B8531" s="116" t="s">
        <v>13620</v>
      </c>
      <c r="C8531" s="102">
        <v>8791</v>
      </c>
    </row>
    <row r="8532" spans="1:3" ht="31.5" x14ac:dyDescent="0.25">
      <c r="A8532" s="118" t="s">
        <v>13621</v>
      </c>
      <c r="B8532" s="78" t="s">
        <v>13622</v>
      </c>
      <c r="C8532" s="102">
        <v>8950</v>
      </c>
    </row>
    <row r="8533" spans="1:3" ht="31.5" x14ac:dyDescent="0.25">
      <c r="A8533" s="118" t="s">
        <v>13623</v>
      </c>
      <c r="B8533" s="116" t="s">
        <v>13624</v>
      </c>
      <c r="C8533" s="102">
        <v>9000</v>
      </c>
    </row>
    <row r="8534" spans="1:3" ht="31.5" x14ac:dyDescent="0.25">
      <c r="A8534" s="118" t="s">
        <v>15796</v>
      </c>
      <c r="B8534" s="116" t="s">
        <v>13625</v>
      </c>
      <c r="C8534" s="102">
        <v>9009</v>
      </c>
    </row>
    <row r="8535" spans="1:3" x14ac:dyDescent="0.25">
      <c r="A8535" s="118" t="s">
        <v>15797</v>
      </c>
      <c r="B8535" s="116" t="s">
        <v>13626</v>
      </c>
      <c r="C8535" s="102">
        <v>9183</v>
      </c>
    </row>
    <row r="8536" spans="1:3" ht="31.5" x14ac:dyDescent="0.25">
      <c r="A8536" s="118" t="s">
        <v>13627</v>
      </c>
      <c r="B8536" s="116" t="s">
        <v>13628</v>
      </c>
      <c r="C8536" s="102">
        <v>9240</v>
      </c>
    </row>
    <row r="8537" spans="1:3" x14ac:dyDescent="0.25">
      <c r="A8537" s="163" t="s">
        <v>13629</v>
      </c>
      <c r="B8537" s="78" t="s">
        <v>13630</v>
      </c>
      <c r="C8537" s="102">
        <v>9713</v>
      </c>
    </row>
    <row r="8538" spans="1:3" x14ac:dyDescent="0.25">
      <c r="A8538" s="118" t="s">
        <v>13631</v>
      </c>
      <c r="B8538" s="116" t="s">
        <v>13632</v>
      </c>
      <c r="C8538" s="102">
        <v>9794</v>
      </c>
    </row>
    <row r="8539" spans="1:3" ht="47.25" x14ac:dyDescent="0.25">
      <c r="A8539" s="163" t="s">
        <v>15798</v>
      </c>
      <c r="B8539" s="116" t="s">
        <v>13633</v>
      </c>
      <c r="C8539" s="102">
        <v>9900</v>
      </c>
    </row>
    <row r="8540" spans="1:3" ht="31.5" x14ac:dyDescent="0.25">
      <c r="A8540" s="118" t="s">
        <v>13634</v>
      </c>
      <c r="B8540" s="116" t="s">
        <v>13635</v>
      </c>
      <c r="C8540" s="102">
        <v>10000</v>
      </c>
    </row>
    <row r="8541" spans="1:3" x14ac:dyDescent="0.25">
      <c r="A8541" s="118" t="s">
        <v>13636</v>
      </c>
      <c r="B8541" s="116" t="s">
        <v>13637</v>
      </c>
      <c r="C8541" s="102">
        <v>10120</v>
      </c>
    </row>
    <row r="8542" spans="1:3" ht="31.5" x14ac:dyDescent="0.25">
      <c r="A8542" s="118" t="s">
        <v>13638</v>
      </c>
      <c r="B8542" s="116" t="s">
        <v>13639</v>
      </c>
      <c r="C8542" s="102">
        <v>10285</v>
      </c>
    </row>
    <row r="8543" spans="1:3" x14ac:dyDescent="0.25">
      <c r="A8543" s="118" t="s">
        <v>13640</v>
      </c>
      <c r="B8543" s="116" t="s">
        <v>13641</v>
      </c>
      <c r="C8543" s="102">
        <v>10350</v>
      </c>
    </row>
    <row r="8544" spans="1:3" ht="31.5" x14ac:dyDescent="0.25">
      <c r="A8544" s="118" t="s">
        <v>13642</v>
      </c>
      <c r="B8544" s="116" t="s">
        <v>13643</v>
      </c>
      <c r="C8544" s="102">
        <v>10407</v>
      </c>
    </row>
    <row r="8545" spans="1:3" ht="31.5" x14ac:dyDescent="0.25">
      <c r="A8545" s="118" t="s">
        <v>13644</v>
      </c>
      <c r="B8545" s="116" t="s">
        <v>13645</v>
      </c>
      <c r="C8545" s="102">
        <v>10407</v>
      </c>
    </row>
    <row r="8546" spans="1:3" x14ac:dyDescent="0.25">
      <c r="A8546" s="163" t="s">
        <v>13646</v>
      </c>
      <c r="B8546" s="78" t="s">
        <v>13647</v>
      </c>
      <c r="C8546" s="102">
        <v>10712</v>
      </c>
    </row>
    <row r="8547" spans="1:3" ht="31.5" x14ac:dyDescent="0.25">
      <c r="A8547" s="170" t="s">
        <v>13648</v>
      </c>
      <c r="B8547" s="114" t="s">
        <v>13649</v>
      </c>
      <c r="C8547" s="102">
        <v>17075</v>
      </c>
    </row>
    <row r="8548" spans="1:3" x14ac:dyDescent="0.25">
      <c r="A8548" s="163" t="s">
        <v>13650</v>
      </c>
      <c r="B8548" s="78" t="s">
        <v>13651</v>
      </c>
      <c r="C8548" s="102">
        <v>18700</v>
      </c>
    </row>
    <row r="8549" spans="1:3" ht="31.5" x14ac:dyDescent="0.25">
      <c r="A8549" s="163" t="s">
        <v>13652</v>
      </c>
      <c r="B8549" s="78" t="s">
        <v>13653</v>
      </c>
      <c r="C8549" s="102">
        <v>18700</v>
      </c>
    </row>
    <row r="8550" spans="1:3" x14ac:dyDescent="0.25">
      <c r="A8550" s="12" t="str">
        <f>("09-12211-10C")</f>
        <v>09-12211-10C</v>
      </c>
      <c r="B8550" s="15" t="s">
        <v>13654</v>
      </c>
      <c r="C8550" s="32">
        <v>197.5</v>
      </c>
    </row>
    <row r="8551" spans="1:3" x14ac:dyDescent="0.25">
      <c r="A8551" s="12" t="str">
        <f>("09-12211-20C")</f>
        <v>09-12211-20C</v>
      </c>
      <c r="B8551" s="15" t="s">
        <v>13655</v>
      </c>
      <c r="C8551" s="32">
        <v>338.75</v>
      </c>
    </row>
    <row r="8552" spans="1:3" x14ac:dyDescent="0.25">
      <c r="A8552" s="12" t="str">
        <f>("09-12211-30C")</f>
        <v>09-12211-30C</v>
      </c>
      <c r="B8552" s="15" t="s">
        <v>13656</v>
      </c>
      <c r="C8552" s="32">
        <v>510</v>
      </c>
    </row>
    <row r="8553" spans="1:3" x14ac:dyDescent="0.25">
      <c r="A8553" s="12" t="str">
        <f>("09-12211-50C")</f>
        <v>09-12211-50C</v>
      </c>
      <c r="B8553" s="15" t="s">
        <v>13657</v>
      </c>
      <c r="C8553" s="32">
        <v>627.5</v>
      </c>
    </row>
    <row r="8554" spans="1:3" x14ac:dyDescent="0.25">
      <c r="A8554" s="12" t="str">
        <f>("09-12211-6F")</f>
        <v>09-12211-6F</v>
      </c>
      <c r="B8554" s="15" t="s">
        <v>13658</v>
      </c>
      <c r="C8554" s="32">
        <v>137.5</v>
      </c>
    </row>
    <row r="8555" spans="1:3" x14ac:dyDescent="0.25">
      <c r="A8555" s="12" t="str">
        <f>("09-12212-100C")</f>
        <v>09-12212-100C</v>
      </c>
      <c r="B8555" s="15" t="s">
        <v>13659</v>
      </c>
      <c r="C8555" s="32">
        <v>1022.5</v>
      </c>
    </row>
    <row r="8556" spans="1:3" x14ac:dyDescent="0.25">
      <c r="A8556" s="12" t="str">
        <f>("09-12212-12C")</f>
        <v>09-12212-12C</v>
      </c>
      <c r="B8556" s="15" t="s">
        <v>13660</v>
      </c>
      <c r="C8556" s="32">
        <v>162.5</v>
      </c>
    </row>
    <row r="8557" spans="1:3" x14ac:dyDescent="0.25">
      <c r="A8557" s="12" t="str">
        <f>("09-12212-20C")</f>
        <v>09-12212-20C</v>
      </c>
      <c r="B8557" s="15" t="s">
        <v>13661</v>
      </c>
      <c r="C8557" s="32">
        <v>202.5</v>
      </c>
    </row>
    <row r="8558" spans="1:3" x14ac:dyDescent="0.25">
      <c r="A8558" s="12" t="str">
        <f>("09-12212-24C")</f>
        <v>09-12212-24C</v>
      </c>
      <c r="B8558" s="15" t="s">
        <v>13662</v>
      </c>
      <c r="C8558" s="32">
        <v>243.75</v>
      </c>
    </row>
    <row r="8559" spans="1:3" x14ac:dyDescent="0.25">
      <c r="A8559" s="12" t="str">
        <f>("09-12212-40C")</f>
        <v>09-12212-40C</v>
      </c>
      <c r="B8559" s="15" t="s">
        <v>13663</v>
      </c>
      <c r="C8559" s="32">
        <v>407.5</v>
      </c>
    </row>
    <row r="8560" spans="1:3" x14ac:dyDescent="0.25">
      <c r="A8560" s="12" t="str">
        <f>("09-12212-4F")</f>
        <v>09-12212-4F</v>
      </c>
      <c r="B8560" s="15" t="s">
        <v>13664</v>
      </c>
      <c r="C8560" s="32">
        <v>121.25</v>
      </c>
    </row>
    <row r="8561" spans="1:3" x14ac:dyDescent="0.25">
      <c r="A8561" s="12" t="str">
        <f>("09-12212-60C")</f>
        <v>09-12212-60C</v>
      </c>
      <c r="B8561" s="15" t="s">
        <v>13665</v>
      </c>
      <c r="C8561" s="32">
        <v>612.5</v>
      </c>
    </row>
    <row r="8562" spans="1:3" x14ac:dyDescent="0.25">
      <c r="A8562" s="12" t="str">
        <f>("09-12212-80C")</f>
        <v>09-12212-80C</v>
      </c>
      <c r="B8562" s="15" t="s">
        <v>13666</v>
      </c>
      <c r="C8562" s="32">
        <v>816.25</v>
      </c>
    </row>
    <row r="8563" spans="1:3" x14ac:dyDescent="0.25">
      <c r="A8563" s="12" t="str">
        <f>("09-12212-8F")</f>
        <v>09-12212-8F</v>
      </c>
      <c r="B8563" s="15" t="s">
        <v>13667</v>
      </c>
      <c r="C8563" s="32">
        <v>141.25</v>
      </c>
    </row>
    <row r="8564" spans="1:3" x14ac:dyDescent="0.25">
      <c r="A8564" s="12" t="str">
        <f>("09-12270-20F")</f>
        <v>09-12270-20F</v>
      </c>
      <c r="B8564" s="15" t="s">
        <v>13668</v>
      </c>
      <c r="C8564" s="32">
        <v>401.25</v>
      </c>
    </row>
    <row r="8565" spans="1:3" x14ac:dyDescent="0.25">
      <c r="A8565" s="12" t="str">
        <f>("09-12270-20S")</f>
        <v>09-12270-20S</v>
      </c>
      <c r="B8565" s="15" t="s">
        <v>13669</v>
      </c>
      <c r="C8565" s="32">
        <v>401.25</v>
      </c>
    </row>
    <row r="8566" spans="1:3" x14ac:dyDescent="0.25">
      <c r="A8566" s="12" t="str">
        <f>("09-12270-30F")</f>
        <v>09-12270-30F</v>
      </c>
      <c r="B8566" s="15" t="s">
        <v>13670</v>
      </c>
      <c r="C8566" s="32">
        <v>437.5</v>
      </c>
    </row>
    <row r="8567" spans="1:3" x14ac:dyDescent="0.25">
      <c r="A8567" s="12" t="str">
        <f>("09-12270-40S")</f>
        <v>09-12270-40S</v>
      </c>
      <c r="B8567" s="15" t="s">
        <v>13671</v>
      </c>
      <c r="C8567" s="32">
        <v>578.75</v>
      </c>
    </row>
    <row r="8568" spans="1:3" x14ac:dyDescent="0.25">
      <c r="A8568" s="12" t="str">
        <f>("09-12232-PR")</f>
        <v>09-12232-PR</v>
      </c>
      <c r="B8568" s="15" t="s">
        <v>13672</v>
      </c>
      <c r="C8568" s="32">
        <v>177.5</v>
      </c>
    </row>
    <row r="8569" spans="1:3" x14ac:dyDescent="0.25">
      <c r="A8569" s="12" t="str">
        <f>("09-13206C")</f>
        <v>09-13206C</v>
      </c>
      <c r="B8569" s="15" t="s">
        <v>13673</v>
      </c>
      <c r="C8569" s="32">
        <v>100</v>
      </c>
    </row>
    <row r="8570" spans="1:3" x14ac:dyDescent="0.25">
      <c r="A8570" s="12" t="str">
        <f>("09-13206S")</f>
        <v>09-13206S</v>
      </c>
      <c r="B8570" s="15" t="s">
        <v>13674</v>
      </c>
      <c r="C8570" s="32">
        <v>86.25</v>
      </c>
    </row>
    <row r="8571" spans="1:3" x14ac:dyDescent="0.25">
      <c r="A8571" s="12" t="str">
        <f>("09-13212C")</f>
        <v>09-13212C</v>
      </c>
      <c r="B8571" s="15" t="s">
        <v>13675</v>
      </c>
      <c r="C8571" s="32">
        <v>178.75</v>
      </c>
    </row>
    <row r="8572" spans="1:3" x14ac:dyDescent="0.25">
      <c r="A8572" s="12" t="str">
        <f>("09-13220C")</f>
        <v>09-13220C</v>
      </c>
      <c r="B8572" s="15" t="s">
        <v>13676</v>
      </c>
      <c r="C8572" s="32">
        <v>240</v>
      </c>
    </row>
    <row r="8573" spans="1:3" x14ac:dyDescent="0.25">
      <c r="A8573" s="12" t="str">
        <f>("09-13220S")</f>
        <v>09-13220S</v>
      </c>
      <c r="B8573" s="15" t="s">
        <v>13677</v>
      </c>
      <c r="C8573" s="32">
        <v>208.75</v>
      </c>
    </row>
    <row r="8574" spans="1:3" x14ac:dyDescent="0.25">
      <c r="A8574" s="12" t="str">
        <f>("09-13230C")</f>
        <v>09-13230C</v>
      </c>
      <c r="B8574" s="15" t="s">
        <v>13678</v>
      </c>
      <c r="C8574" s="32">
        <v>321.25</v>
      </c>
    </row>
    <row r="8575" spans="1:3" x14ac:dyDescent="0.25">
      <c r="A8575" s="12" t="str">
        <f>("09-13240C")</f>
        <v>09-13240C</v>
      </c>
      <c r="B8575" s="15" t="s">
        <v>13679</v>
      </c>
      <c r="C8575" s="32">
        <v>401.25</v>
      </c>
    </row>
    <row r="8576" spans="1:3" x14ac:dyDescent="0.25">
      <c r="A8576" s="12" t="str">
        <f>("09-13240S")</f>
        <v>09-13240S</v>
      </c>
      <c r="B8576" s="15" t="s">
        <v>13680</v>
      </c>
      <c r="C8576" s="32">
        <v>348.75</v>
      </c>
    </row>
    <row r="8577" spans="1:3" x14ac:dyDescent="0.25">
      <c r="A8577" s="12" t="str">
        <f>("09-13250C")</f>
        <v>09-13250C</v>
      </c>
      <c r="B8577" s="15" t="s">
        <v>13681</v>
      </c>
      <c r="C8577" s="32">
        <v>502.5</v>
      </c>
    </row>
    <row r="8578" spans="1:3" x14ac:dyDescent="0.25">
      <c r="A8578" s="12" t="str">
        <f>("09-12007A-PR")</f>
        <v>09-12007A-PR</v>
      </c>
      <c r="B8578" s="15" t="s">
        <v>13682</v>
      </c>
      <c r="C8578" s="32">
        <v>337.5</v>
      </c>
    </row>
    <row r="8579" spans="1:3" x14ac:dyDescent="0.25">
      <c r="A8579" s="12" t="str">
        <f>("09-12007B-PR")</f>
        <v>09-12007B-PR</v>
      </c>
      <c r="B8579" s="15" t="s">
        <v>13683</v>
      </c>
      <c r="C8579" s="32">
        <v>337.5</v>
      </c>
    </row>
    <row r="8580" spans="1:3" x14ac:dyDescent="0.25">
      <c r="A8580" s="12" t="str">
        <f>("09-12219A-PR")</f>
        <v>09-12219A-PR</v>
      </c>
      <c r="B8580" s="15" t="s">
        <v>13684</v>
      </c>
      <c r="C8580" s="32">
        <v>293.75</v>
      </c>
    </row>
    <row r="8581" spans="1:3" x14ac:dyDescent="0.25">
      <c r="A8581" s="12" t="str">
        <f>("09-12219B-PR")</f>
        <v>09-12219B-PR</v>
      </c>
      <c r="B8581" s="15" t="s">
        <v>13685</v>
      </c>
      <c r="C8581" s="32">
        <v>337.5</v>
      </c>
    </row>
    <row r="8582" spans="1:3" x14ac:dyDescent="0.25">
      <c r="A8582" s="12" t="str">
        <f>("09-12005A")</f>
        <v>09-12005A</v>
      </c>
      <c r="B8582" s="15" t="s">
        <v>13686</v>
      </c>
      <c r="C8582" s="32">
        <v>47.5</v>
      </c>
    </row>
    <row r="8583" spans="1:3" x14ac:dyDescent="0.25">
      <c r="A8583" s="12" t="str">
        <f>("09-12006A")</f>
        <v>09-12006A</v>
      </c>
      <c r="B8583" s="15" t="s">
        <v>13687</v>
      </c>
      <c r="C8583" s="32">
        <v>65</v>
      </c>
    </row>
    <row r="8584" spans="1:3" x14ac:dyDescent="0.25">
      <c r="A8584" s="12" t="str">
        <f>("09-12006B")</f>
        <v>09-12006B</v>
      </c>
      <c r="B8584" s="15" t="s">
        <v>13688</v>
      </c>
      <c r="C8584" s="32">
        <v>65</v>
      </c>
    </row>
    <row r="8585" spans="1:3" x14ac:dyDescent="0.25">
      <c r="A8585" s="12" t="str">
        <f>("09-12210")</f>
        <v>09-12210</v>
      </c>
      <c r="B8585" s="15" t="s">
        <v>13689</v>
      </c>
      <c r="C8585" s="32">
        <v>53.75</v>
      </c>
    </row>
    <row r="8586" spans="1:3" x14ac:dyDescent="0.25">
      <c r="A8586" s="12" t="str">
        <f>("09-12211A")</f>
        <v>09-12211A</v>
      </c>
      <c r="B8586" s="15" t="s">
        <v>13690</v>
      </c>
      <c r="C8586" s="32">
        <v>68.75</v>
      </c>
    </row>
    <row r="8587" spans="1:3" x14ac:dyDescent="0.25">
      <c r="A8587" s="12" t="str">
        <f>("09-12211B")</f>
        <v>09-12211B</v>
      </c>
      <c r="B8587" s="15" t="s">
        <v>13691</v>
      </c>
      <c r="C8587" s="32">
        <v>58.75</v>
      </c>
    </row>
    <row r="8588" spans="1:3" x14ac:dyDescent="0.25">
      <c r="A8588" s="12" t="str">
        <f>("09-12000-1")</f>
        <v>09-12000-1</v>
      </c>
      <c r="B8588" s="15" t="s">
        <v>13692</v>
      </c>
      <c r="C8588" s="32">
        <v>80</v>
      </c>
    </row>
    <row r="8589" spans="1:3" x14ac:dyDescent="0.25">
      <c r="A8589" s="12" t="str">
        <f>("09-12000-5")</f>
        <v>09-12000-5</v>
      </c>
      <c r="B8589" s="15" t="s">
        <v>13693</v>
      </c>
      <c r="C8589" s="32">
        <v>106.25</v>
      </c>
    </row>
    <row r="8590" spans="1:3" x14ac:dyDescent="0.25">
      <c r="A8590" s="12" t="str">
        <f>("09-12000-8")</f>
        <v>09-12000-8</v>
      </c>
      <c r="B8590" s="15" t="s">
        <v>13694</v>
      </c>
      <c r="C8590" s="32">
        <v>120</v>
      </c>
    </row>
    <row r="8591" spans="1:3" x14ac:dyDescent="0.25">
      <c r="A8591" s="12" t="str">
        <f>("09-1218FM4")</f>
        <v>09-1218FM4</v>
      </c>
      <c r="B8591" s="15" t="s">
        <v>13695</v>
      </c>
      <c r="C8591" s="32">
        <v>177.5</v>
      </c>
    </row>
    <row r="8592" spans="1:3" x14ac:dyDescent="0.25">
      <c r="A8592" s="12" t="str">
        <f>("09-12200A-PR")</f>
        <v>09-12200A-PR</v>
      </c>
      <c r="B8592" s="15" t="s">
        <v>13696</v>
      </c>
      <c r="C8592" s="32">
        <v>228.75</v>
      </c>
    </row>
    <row r="8593" spans="1:3" x14ac:dyDescent="0.25">
      <c r="A8593" s="12" t="str">
        <f>("09-12200B-PR")</f>
        <v>09-12200B-PR</v>
      </c>
      <c r="B8593" s="15" t="s">
        <v>13697</v>
      </c>
      <c r="C8593" s="32">
        <v>228.75</v>
      </c>
    </row>
    <row r="8594" spans="1:3" x14ac:dyDescent="0.25">
      <c r="A8594" s="12" t="str">
        <f>("09-12205A-PR")</f>
        <v>09-12205A-PR</v>
      </c>
      <c r="B8594" s="15" t="s">
        <v>13698</v>
      </c>
      <c r="C8594" s="32">
        <v>236.25</v>
      </c>
    </row>
    <row r="8595" spans="1:3" x14ac:dyDescent="0.25">
      <c r="A8595" s="12" t="str">
        <f>("09-12205B-PR")</f>
        <v>09-12205B-PR</v>
      </c>
      <c r="B8595" s="15" t="s">
        <v>13699</v>
      </c>
      <c r="C8595" s="32">
        <v>236.25</v>
      </c>
    </row>
    <row r="8596" spans="1:3" x14ac:dyDescent="0.25">
      <c r="A8596" s="12" t="str">
        <f>("09-12252B-PR")</f>
        <v>09-12252B-PR</v>
      </c>
      <c r="B8596" s="15" t="s">
        <v>13700</v>
      </c>
      <c r="C8596" s="32">
        <v>293.75</v>
      </c>
    </row>
    <row r="8597" spans="1:3" x14ac:dyDescent="0.25">
      <c r="A8597" s="12" t="str">
        <f>("09-1918FM6")</f>
        <v>09-1918FM6</v>
      </c>
      <c r="B8597" s="15" t="s">
        <v>13701</v>
      </c>
      <c r="C8597" s="32">
        <v>158.75</v>
      </c>
    </row>
    <row r="8598" spans="1:3" x14ac:dyDescent="0.25">
      <c r="A8598" s="12" t="str">
        <f>("09-80005")</f>
        <v>09-80005</v>
      </c>
      <c r="B8598" s="15" t="s">
        <v>13702</v>
      </c>
      <c r="C8598" s="32">
        <v>297.5</v>
      </c>
    </row>
    <row r="8599" spans="1:3" x14ac:dyDescent="0.25">
      <c r="A8599" s="12" t="str">
        <f>("09-80015")</f>
        <v>09-80015</v>
      </c>
      <c r="B8599" s="15" t="s">
        <v>13703</v>
      </c>
      <c r="C8599" s="32">
        <v>258.75</v>
      </c>
    </row>
    <row r="8600" spans="1:3" x14ac:dyDescent="0.25">
      <c r="A8600" s="12" t="str">
        <f>("62-41005")</f>
        <v>62-41005</v>
      </c>
      <c r="B8600" s="15" t="s">
        <v>13704</v>
      </c>
      <c r="C8600" s="32">
        <v>470</v>
      </c>
    </row>
    <row r="8601" spans="1:3" x14ac:dyDescent="0.25">
      <c r="A8601" s="12" t="str">
        <f>("62-41015")</f>
        <v>62-41015</v>
      </c>
      <c r="B8601" s="15" t="s">
        <v>13704</v>
      </c>
      <c r="C8601" s="32">
        <v>100</v>
      </c>
    </row>
    <row r="8602" spans="1:3" x14ac:dyDescent="0.25">
      <c r="A8602" s="12" t="str">
        <f>("62-41025")</f>
        <v>62-41025</v>
      </c>
      <c r="B8602" s="15" t="s">
        <v>13704</v>
      </c>
      <c r="C8602" s="32">
        <v>100</v>
      </c>
    </row>
    <row r="8603" spans="1:3" x14ac:dyDescent="0.25">
      <c r="A8603" s="12" t="str">
        <f>("62-41035")</f>
        <v>62-41035</v>
      </c>
      <c r="B8603" s="15" t="s">
        <v>13704</v>
      </c>
      <c r="C8603" s="32">
        <v>243.75</v>
      </c>
    </row>
    <row r="8604" spans="1:3" x14ac:dyDescent="0.25">
      <c r="A8604" s="12" t="str">
        <f>("62-41045")</f>
        <v>62-41045</v>
      </c>
      <c r="B8604" s="15" t="s">
        <v>13704</v>
      </c>
      <c r="C8604" s="32">
        <v>81.25</v>
      </c>
    </row>
    <row r="8605" spans="1:3" x14ac:dyDescent="0.25">
      <c r="A8605" s="12" t="str">
        <f>("62-41055")</f>
        <v>62-41055</v>
      </c>
      <c r="B8605" s="15" t="s">
        <v>13704</v>
      </c>
      <c r="C8605" s="32">
        <v>161.25</v>
      </c>
    </row>
    <row r="8606" spans="1:3" x14ac:dyDescent="0.25">
      <c r="A8606" s="12" t="str">
        <f>("62-41065")</f>
        <v>62-41065</v>
      </c>
      <c r="B8606" s="15" t="s">
        <v>13704</v>
      </c>
      <c r="C8606" s="32">
        <v>243.75</v>
      </c>
    </row>
    <row r="8607" spans="1:3" x14ac:dyDescent="0.25">
      <c r="A8607" s="12" t="str">
        <f>("62-41075")</f>
        <v>62-41075</v>
      </c>
      <c r="B8607" s="15" t="s">
        <v>13705</v>
      </c>
      <c r="C8607" s="32">
        <v>100</v>
      </c>
    </row>
    <row r="8608" spans="1:3" x14ac:dyDescent="0.25">
      <c r="A8608" s="12" t="str">
        <f>("62-41085")</f>
        <v>62-41085</v>
      </c>
      <c r="B8608" s="15" t="s">
        <v>13705</v>
      </c>
      <c r="C8608" s="32">
        <v>272.5</v>
      </c>
    </row>
    <row r="8609" spans="1:3" ht="31.5" x14ac:dyDescent="0.25">
      <c r="A8609" s="12" t="str">
        <f>("62-41115")</f>
        <v>62-41115</v>
      </c>
      <c r="B8609" s="15" t="s">
        <v>13706</v>
      </c>
      <c r="C8609" s="32">
        <v>531.25</v>
      </c>
    </row>
    <row r="8610" spans="1:3" x14ac:dyDescent="0.25">
      <c r="A8610" s="12" t="str">
        <f>("10-3000")</f>
        <v>10-3000</v>
      </c>
      <c r="B8610" s="15" t="s">
        <v>13707</v>
      </c>
      <c r="C8610" s="32">
        <v>272.5</v>
      </c>
    </row>
    <row r="8611" spans="1:3" x14ac:dyDescent="0.25">
      <c r="A8611" s="12" t="str">
        <f>("21-50010")</f>
        <v>21-50010</v>
      </c>
      <c r="B8611" s="15" t="s">
        <v>13708</v>
      </c>
      <c r="C8611" s="32">
        <v>258.75</v>
      </c>
    </row>
    <row r="8612" spans="1:3" x14ac:dyDescent="0.25">
      <c r="A8612" s="12" t="str">
        <f>("21-50015")</f>
        <v>21-50015</v>
      </c>
      <c r="B8612" s="15" t="s">
        <v>13708</v>
      </c>
      <c r="C8612" s="32">
        <v>226.25</v>
      </c>
    </row>
    <row r="8613" spans="1:3" x14ac:dyDescent="0.25">
      <c r="A8613" s="12" t="str">
        <f>("27-70015")</f>
        <v>27-70015</v>
      </c>
      <c r="B8613" s="15" t="s">
        <v>13709</v>
      </c>
      <c r="C8613" s="32">
        <v>232.5</v>
      </c>
    </row>
    <row r="8614" spans="1:3" x14ac:dyDescent="0.25">
      <c r="A8614" s="12" t="str">
        <f>("28-50010")</f>
        <v>28-50010</v>
      </c>
      <c r="B8614" s="15" t="s">
        <v>13708</v>
      </c>
      <c r="C8614" s="32">
        <v>247.5</v>
      </c>
    </row>
    <row r="8615" spans="1:3" x14ac:dyDescent="0.25">
      <c r="A8615" s="12" t="str">
        <f>("28-50015")</f>
        <v>28-50015</v>
      </c>
      <c r="B8615" s="15" t="s">
        <v>13708</v>
      </c>
      <c r="C8615" s="32">
        <v>211.25</v>
      </c>
    </row>
    <row r="8616" spans="1:3" x14ac:dyDescent="0.25">
      <c r="A8616" s="12" t="str">
        <f>("56-10015")</f>
        <v>56-10015</v>
      </c>
      <c r="B8616" s="15" t="s">
        <v>13709</v>
      </c>
      <c r="C8616" s="32">
        <v>232.5</v>
      </c>
    </row>
    <row r="8617" spans="1:3" x14ac:dyDescent="0.25">
      <c r="A8617" s="12" t="str">
        <f>("56-100152")</f>
        <v>56-100152</v>
      </c>
      <c r="B8617" s="15" t="s">
        <v>13709</v>
      </c>
      <c r="C8617" s="32">
        <v>270</v>
      </c>
    </row>
    <row r="8618" spans="1:3" x14ac:dyDescent="0.25">
      <c r="A8618" s="12" t="str">
        <f>("20-11335")</f>
        <v>20-11335</v>
      </c>
      <c r="B8618" s="15" t="s">
        <v>13710</v>
      </c>
      <c r="C8618" s="32">
        <v>661.25</v>
      </c>
    </row>
    <row r="8619" spans="1:3" x14ac:dyDescent="0.25">
      <c r="A8619" s="12" t="str">
        <f>("20-11685")</f>
        <v>20-11685</v>
      </c>
      <c r="B8619" s="15" t="s">
        <v>13711</v>
      </c>
      <c r="C8619" s="32">
        <v>661.25</v>
      </c>
    </row>
    <row r="8620" spans="1:3" x14ac:dyDescent="0.25">
      <c r="A8620" s="12" t="str">
        <f>("20-11955")</f>
        <v>20-11955</v>
      </c>
      <c r="B8620" s="15" t="s">
        <v>13712</v>
      </c>
      <c r="C8620" s="32">
        <v>661.25</v>
      </c>
    </row>
    <row r="8621" spans="1:3" x14ac:dyDescent="0.25">
      <c r="A8621" s="12" t="str">
        <f>("20-12775")</f>
        <v>20-12775</v>
      </c>
      <c r="B8621" s="15" t="s">
        <v>13713</v>
      </c>
      <c r="C8621" s="32">
        <v>618.75</v>
      </c>
    </row>
    <row r="8622" spans="1:3" x14ac:dyDescent="0.25">
      <c r="A8622" s="12" t="str">
        <f>("20-12785")</f>
        <v>20-12785</v>
      </c>
      <c r="B8622" s="15" t="s">
        <v>13714</v>
      </c>
      <c r="C8622" s="32">
        <v>618.75</v>
      </c>
    </row>
    <row r="8623" spans="1:3" x14ac:dyDescent="0.25">
      <c r="A8623" s="12" t="str">
        <f>("20-13245")</f>
        <v>20-13245</v>
      </c>
      <c r="B8623" s="15" t="s">
        <v>13715</v>
      </c>
      <c r="C8623" s="32">
        <v>661.25</v>
      </c>
    </row>
    <row r="8624" spans="1:3" x14ac:dyDescent="0.25">
      <c r="A8624" s="12" t="str">
        <f>("20-13255")</f>
        <v>20-13255</v>
      </c>
      <c r="B8624" s="15" t="s">
        <v>13716</v>
      </c>
      <c r="C8624" s="32">
        <v>661.25</v>
      </c>
    </row>
    <row r="8625" spans="1:3" x14ac:dyDescent="0.25">
      <c r="A8625" s="12" t="str">
        <f>("20-13295")</f>
        <v>20-13295</v>
      </c>
      <c r="B8625" s="15" t="s">
        <v>13717</v>
      </c>
      <c r="C8625" s="32">
        <v>618.75</v>
      </c>
    </row>
    <row r="8626" spans="1:3" x14ac:dyDescent="0.25">
      <c r="A8626" s="12" t="str">
        <f>("20-13555")</f>
        <v>20-13555</v>
      </c>
      <c r="B8626" s="15" t="s">
        <v>13718</v>
      </c>
      <c r="C8626" s="32">
        <v>661.25</v>
      </c>
    </row>
    <row r="8627" spans="1:3" ht="31.5" x14ac:dyDescent="0.25">
      <c r="A8627" s="12" t="str">
        <f>("20-13565")</f>
        <v>20-13565</v>
      </c>
      <c r="B8627" s="15" t="s">
        <v>13719</v>
      </c>
      <c r="C8627" s="32">
        <v>661.25</v>
      </c>
    </row>
    <row r="8628" spans="1:3" ht="31.5" x14ac:dyDescent="0.25">
      <c r="A8628" s="12" t="str">
        <f>("20-13715")</f>
        <v>20-13715</v>
      </c>
      <c r="B8628" s="15" t="s">
        <v>13720</v>
      </c>
      <c r="C8628" s="32">
        <v>661.25</v>
      </c>
    </row>
    <row r="8629" spans="1:3" x14ac:dyDescent="0.25">
      <c r="A8629" s="12" t="str">
        <f>("20-13725")</f>
        <v>20-13725</v>
      </c>
      <c r="B8629" s="15" t="s">
        <v>13721</v>
      </c>
      <c r="C8629" s="32">
        <v>661.25</v>
      </c>
    </row>
    <row r="8630" spans="1:3" ht="31.5" x14ac:dyDescent="0.25">
      <c r="A8630" s="12" t="str">
        <f>("20-13835")</f>
        <v>20-13835</v>
      </c>
      <c r="B8630" s="15" t="s">
        <v>13722</v>
      </c>
      <c r="C8630" s="32">
        <v>618.75</v>
      </c>
    </row>
    <row r="8631" spans="1:3" x14ac:dyDescent="0.25">
      <c r="A8631" s="12" t="str">
        <f>("20-13935")</f>
        <v>20-13935</v>
      </c>
      <c r="B8631" s="15" t="s">
        <v>13723</v>
      </c>
      <c r="C8631" s="32">
        <v>661.25</v>
      </c>
    </row>
    <row r="8632" spans="1:3" x14ac:dyDescent="0.25">
      <c r="A8632" s="12" t="str">
        <f>("20-13945")</f>
        <v>20-13945</v>
      </c>
      <c r="B8632" s="15" t="s">
        <v>13724</v>
      </c>
      <c r="C8632" s="32">
        <v>661.25</v>
      </c>
    </row>
    <row r="8633" spans="1:3" x14ac:dyDescent="0.25">
      <c r="A8633" s="12" t="str">
        <f>("20-14015")</f>
        <v>20-14015</v>
      </c>
      <c r="B8633" s="15" t="s">
        <v>13725</v>
      </c>
      <c r="C8633" s="32">
        <v>618.75</v>
      </c>
    </row>
    <row r="8634" spans="1:3" x14ac:dyDescent="0.25">
      <c r="A8634" s="12" t="str">
        <f>("20-14065")</f>
        <v>20-14065</v>
      </c>
      <c r="B8634" s="15" t="s">
        <v>13726</v>
      </c>
      <c r="C8634" s="32">
        <v>618.75</v>
      </c>
    </row>
    <row r="8635" spans="1:3" x14ac:dyDescent="0.25">
      <c r="A8635" s="12" t="str">
        <f>("20-14085")</f>
        <v>20-14085</v>
      </c>
      <c r="B8635" s="15" t="s">
        <v>13727</v>
      </c>
      <c r="C8635" s="32">
        <v>661.25</v>
      </c>
    </row>
    <row r="8636" spans="1:3" x14ac:dyDescent="0.25">
      <c r="A8636" s="12" t="str">
        <f>("20-14095")</f>
        <v>20-14095</v>
      </c>
      <c r="B8636" s="15" t="s">
        <v>13728</v>
      </c>
      <c r="C8636" s="32">
        <v>661.25</v>
      </c>
    </row>
    <row r="8637" spans="1:3" ht="31.5" x14ac:dyDescent="0.25">
      <c r="A8637" s="12" t="str">
        <f>("20-14125")</f>
        <v>20-14125</v>
      </c>
      <c r="B8637" s="15" t="s">
        <v>13729</v>
      </c>
      <c r="C8637" s="32">
        <v>661.25</v>
      </c>
    </row>
    <row r="8638" spans="1:3" ht="31.5" x14ac:dyDescent="0.25">
      <c r="A8638" s="12" t="str">
        <f>("20-14135")</f>
        <v>20-14135</v>
      </c>
      <c r="B8638" s="15" t="s">
        <v>13730</v>
      </c>
      <c r="C8638" s="32">
        <v>661.25</v>
      </c>
    </row>
    <row r="8639" spans="1:3" x14ac:dyDescent="0.25">
      <c r="A8639" s="12" t="str">
        <f>("20-14165")</f>
        <v>20-14165</v>
      </c>
      <c r="B8639" s="15" t="s">
        <v>13731</v>
      </c>
      <c r="C8639" s="32">
        <v>618.75</v>
      </c>
    </row>
    <row r="8640" spans="1:3" x14ac:dyDescent="0.25">
      <c r="A8640" s="12" t="str">
        <f>("20-14185")</f>
        <v>20-14185</v>
      </c>
      <c r="B8640" s="15" t="s">
        <v>13732</v>
      </c>
      <c r="C8640" s="32">
        <v>618.75</v>
      </c>
    </row>
    <row r="8641" spans="1:3" x14ac:dyDescent="0.25">
      <c r="A8641" s="12" t="str">
        <f>("20-14195")</f>
        <v>20-14195</v>
      </c>
      <c r="B8641" s="15" t="s">
        <v>13733</v>
      </c>
      <c r="C8641" s="32">
        <v>618.75</v>
      </c>
    </row>
    <row r="8642" spans="1:3" x14ac:dyDescent="0.25">
      <c r="A8642" s="12" t="str">
        <f>("20-14225")</f>
        <v>20-14225</v>
      </c>
      <c r="B8642" s="15" t="s">
        <v>13734</v>
      </c>
      <c r="C8642" s="32">
        <v>661.25</v>
      </c>
    </row>
    <row r="8643" spans="1:3" x14ac:dyDescent="0.25">
      <c r="A8643" s="12" t="str">
        <f>("20-14235")</f>
        <v>20-14235</v>
      </c>
      <c r="B8643" s="15" t="s">
        <v>13735</v>
      </c>
      <c r="C8643" s="32">
        <v>661.25</v>
      </c>
    </row>
    <row r="8644" spans="1:3" x14ac:dyDescent="0.25">
      <c r="A8644" s="12" t="str">
        <f>("20-42775")</f>
        <v>20-42775</v>
      </c>
      <c r="B8644" s="15" t="s">
        <v>13736</v>
      </c>
      <c r="C8644" s="32">
        <v>781.25</v>
      </c>
    </row>
    <row r="8645" spans="1:3" x14ac:dyDescent="0.25">
      <c r="A8645" s="12" t="str">
        <f>("20-42785")</f>
        <v>20-42785</v>
      </c>
      <c r="B8645" s="15" t="s">
        <v>13737</v>
      </c>
      <c r="C8645" s="32">
        <v>781.25</v>
      </c>
    </row>
    <row r="8646" spans="1:3" x14ac:dyDescent="0.25">
      <c r="A8646" s="12" t="str">
        <f>("20-43245")</f>
        <v>20-43245</v>
      </c>
      <c r="B8646" s="15" t="s">
        <v>13738</v>
      </c>
      <c r="C8646" s="32">
        <v>781.25</v>
      </c>
    </row>
    <row r="8647" spans="1:3" x14ac:dyDescent="0.25">
      <c r="A8647" s="12" t="str">
        <f>("20-43255")</f>
        <v>20-43255</v>
      </c>
      <c r="B8647" s="15" t="s">
        <v>13739</v>
      </c>
      <c r="C8647" s="32">
        <v>781.25</v>
      </c>
    </row>
    <row r="8648" spans="1:3" x14ac:dyDescent="0.25">
      <c r="A8648" s="12" t="str">
        <f>("20-43555")</f>
        <v>20-43555</v>
      </c>
      <c r="B8648" s="15" t="s">
        <v>13740</v>
      </c>
      <c r="C8648" s="32">
        <v>781.25</v>
      </c>
    </row>
    <row r="8649" spans="1:3" ht="31.5" x14ac:dyDescent="0.25">
      <c r="A8649" s="12" t="str">
        <f>("20-43565")</f>
        <v>20-43565</v>
      </c>
      <c r="B8649" s="15" t="s">
        <v>13741</v>
      </c>
      <c r="C8649" s="32">
        <v>781.25</v>
      </c>
    </row>
    <row r="8650" spans="1:3" x14ac:dyDescent="0.25">
      <c r="A8650" s="12" t="str">
        <f>("20-43785")</f>
        <v>20-43785</v>
      </c>
      <c r="B8650" s="15" t="s">
        <v>13742</v>
      </c>
      <c r="C8650" s="32">
        <v>781.25</v>
      </c>
    </row>
    <row r="8651" spans="1:3" x14ac:dyDescent="0.25">
      <c r="A8651" s="12" t="str">
        <f>("20-43795")</f>
        <v>20-43795</v>
      </c>
      <c r="B8651" s="15" t="s">
        <v>13743</v>
      </c>
      <c r="C8651" s="32">
        <v>781.25</v>
      </c>
    </row>
    <row r="8652" spans="1:3" ht="31.5" x14ac:dyDescent="0.25">
      <c r="A8652" s="12" t="str">
        <f>("20-43835")</f>
        <v>20-43835</v>
      </c>
      <c r="B8652" s="15" t="s">
        <v>13744</v>
      </c>
      <c r="C8652" s="32">
        <v>781.25</v>
      </c>
    </row>
    <row r="8653" spans="1:3" x14ac:dyDescent="0.25">
      <c r="A8653" s="12" t="str">
        <f>("20-43935")</f>
        <v>20-43935</v>
      </c>
      <c r="B8653" s="15" t="s">
        <v>13745</v>
      </c>
      <c r="C8653" s="32">
        <v>781.25</v>
      </c>
    </row>
    <row r="8654" spans="1:3" ht="31.5" x14ac:dyDescent="0.25">
      <c r="A8654" s="12" t="str">
        <f>("20-43945")</f>
        <v>20-43945</v>
      </c>
      <c r="B8654" s="15" t="s">
        <v>13746</v>
      </c>
      <c r="C8654" s="32">
        <v>781.25</v>
      </c>
    </row>
    <row r="8655" spans="1:3" x14ac:dyDescent="0.25">
      <c r="A8655" s="12" t="str">
        <f>("20-44015")</f>
        <v>20-44015</v>
      </c>
      <c r="B8655" s="15" t="s">
        <v>13747</v>
      </c>
      <c r="C8655" s="32">
        <v>781.25</v>
      </c>
    </row>
    <row r="8656" spans="1:3" x14ac:dyDescent="0.25">
      <c r="A8656" s="12" t="str">
        <f>("20-44065")</f>
        <v>20-44065</v>
      </c>
      <c r="B8656" s="15" t="s">
        <v>13748</v>
      </c>
      <c r="C8656" s="32">
        <v>781.25</v>
      </c>
    </row>
    <row r="8657" spans="1:3" x14ac:dyDescent="0.25">
      <c r="A8657" s="12" t="str">
        <f>("20-44085")</f>
        <v>20-44085</v>
      </c>
      <c r="B8657" s="15" t="s">
        <v>13727</v>
      </c>
      <c r="C8657" s="32">
        <v>781.25</v>
      </c>
    </row>
    <row r="8658" spans="1:3" x14ac:dyDescent="0.25">
      <c r="A8658" s="12" t="str">
        <f>("20-44095")</f>
        <v>20-44095</v>
      </c>
      <c r="B8658" s="15" t="s">
        <v>13749</v>
      </c>
      <c r="C8658" s="32">
        <v>781.25</v>
      </c>
    </row>
    <row r="8659" spans="1:3" x14ac:dyDescent="0.25">
      <c r="A8659" s="12" t="str">
        <f>("20-44125")</f>
        <v>20-44125</v>
      </c>
      <c r="B8659" s="15" t="s">
        <v>13750</v>
      </c>
      <c r="C8659" s="32">
        <v>781.25</v>
      </c>
    </row>
    <row r="8660" spans="1:3" x14ac:dyDescent="0.25">
      <c r="A8660" s="12" t="str">
        <f>("20-44135")</f>
        <v>20-44135</v>
      </c>
      <c r="B8660" s="15" t="s">
        <v>13751</v>
      </c>
      <c r="C8660" s="32">
        <v>781.25</v>
      </c>
    </row>
    <row r="8661" spans="1:3" x14ac:dyDescent="0.25">
      <c r="A8661" s="12" t="str">
        <f>("20-44155")</f>
        <v>20-44155</v>
      </c>
      <c r="B8661" s="15" t="s">
        <v>13752</v>
      </c>
      <c r="C8661" s="32">
        <v>781.25</v>
      </c>
    </row>
    <row r="8662" spans="1:3" x14ac:dyDescent="0.25">
      <c r="A8662" s="12" t="str">
        <f>("20-44165")</f>
        <v>20-44165</v>
      </c>
      <c r="B8662" s="15" t="s">
        <v>13753</v>
      </c>
      <c r="C8662" s="32">
        <v>781.25</v>
      </c>
    </row>
    <row r="8663" spans="1:3" x14ac:dyDescent="0.25">
      <c r="A8663" s="12" t="str">
        <f>("20-44195")</f>
        <v>20-44195</v>
      </c>
      <c r="B8663" s="15" t="s">
        <v>13754</v>
      </c>
      <c r="C8663" s="32">
        <v>781.25</v>
      </c>
    </row>
    <row r="8664" spans="1:3" x14ac:dyDescent="0.25">
      <c r="A8664" s="12" t="str">
        <f>("20-44225")</f>
        <v>20-44225</v>
      </c>
      <c r="B8664" s="15" t="s">
        <v>13755</v>
      </c>
      <c r="C8664" s="32">
        <v>781.25</v>
      </c>
    </row>
    <row r="8665" spans="1:3" x14ac:dyDescent="0.25">
      <c r="A8665" s="12" t="str">
        <f>("20-44235")</f>
        <v>20-44235</v>
      </c>
      <c r="B8665" s="15" t="s">
        <v>13756</v>
      </c>
      <c r="C8665" s="32">
        <v>781.25</v>
      </c>
    </row>
    <row r="8666" spans="1:3" x14ac:dyDescent="0.25">
      <c r="A8666" s="12" t="str">
        <f>("21-1315")</f>
        <v>21-1315</v>
      </c>
      <c r="B8666" s="15" t="s">
        <v>13757</v>
      </c>
      <c r="C8666" s="32">
        <v>503.75</v>
      </c>
    </row>
    <row r="8667" spans="1:3" x14ac:dyDescent="0.25">
      <c r="A8667" s="12" t="str">
        <f>("21-1335")</f>
        <v>21-1335</v>
      </c>
      <c r="B8667" s="15" t="s">
        <v>13758</v>
      </c>
      <c r="C8667" s="32">
        <v>503.75</v>
      </c>
    </row>
    <row r="8668" spans="1:3" x14ac:dyDescent="0.25">
      <c r="A8668" s="12" t="str">
        <f>("21-1400")</f>
        <v>21-1400</v>
      </c>
      <c r="B8668" s="15" t="s">
        <v>13759</v>
      </c>
      <c r="C8668" s="32">
        <v>722.5</v>
      </c>
    </row>
    <row r="8669" spans="1:3" x14ac:dyDescent="0.25">
      <c r="A8669" s="12" t="str">
        <f>("21-1405")</f>
        <v>21-1405</v>
      </c>
      <c r="B8669" s="15" t="s">
        <v>13759</v>
      </c>
      <c r="C8669" s="32">
        <v>431.25</v>
      </c>
    </row>
    <row r="8670" spans="1:3" x14ac:dyDescent="0.25">
      <c r="A8670" s="12" t="str">
        <f>("21-1680")</f>
        <v>21-1680</v>
      </c>
      <c r="B8670" s="15" t="s">
        <v>13760</v>
      </c>
      <c r="C8670" s="32">
        <v>867.5</v>
      </c>
    </row>
    <row r="8671" spans="1:3" x14ac:dyDescent="0.25">
      <c r="A8671" s="12" t="str">
        <f>("21-1685")</f>
        <v>21-1685</v>
      </c>
      <c r="B8671" s="15" t="s">
        <v>13760</v>
      </c>
      <c r="C8671" s="32">
        <v>503.75</v>
      </c>
    </row>
    <row r="8672" spans="1:3" ht="31.5" x14ac:dyDescent="0.25">
      <c r="A8672" s="12" t="str">
        <f>("21-1950")</f>
        <v>21-1950</v>
      </c>
      <c r="B8672" s="15" t="s">
        <v>13761</v>
      </c>
      <c r="C8672" s="32">
        <v>867.5</v>
      </c>
    </row>
    <row r="8673" spans="1:3" ht="31.5" x14ac:dyDescent="0.25">
      <c r="A8673" s="12" t="str">
        <f>("21-1955")</f>
        <v>21-1955</v>
      </c>
      <c r="B8673" s="15" t="s">
        <v>13761</v>
      </c>
      <c r="C8673" s="32">
        <v>503.75</v>
      </c>
    </row>
    <row r="8674" spans="1:3" x14ac:dyDescent="0.25">
      <c r="A8674" s="12" t="str">
        <f>("21-2310")</f>
        <v>21-2310</v>
      </c>
      <c r="B8674" s="15" t="s">
        <v>13762</v>
      </c>
      <c r="C8674" s="32">
        <v>867.5</v>
      </c>
    </row>
    <row r="8675" spans="1:3" x14ac:dyDescent="0.25">
      <c r="A8675" s="12" t="str">
        <f>("21-2315")</f>
        <v>21-2315</v>
      </c>
      <c r="B8675" s="15" t="s">
        <v>13762</v>
      </c>
      <c r="C8675" s="32">
        <v>503.75</v>
      </c>
    </row>
    <row r="8676" spans="1:3" x14ac:dyDescent="0.25">
      <c r="A8676" s="12" t="str">
        <f>("21-2325")</f>
        <v>21-2325</v>
      </c>
      <c r="B8676" s="15" t="s">
        <v>13763</v>
      </c>
      <c r="C8676" s="32">
        <v>431.25</v>
      </c>
    </row>
    <row r="8677" spans="1:3" x14ac:dyDescent="0.25">
      <c r="A8677" s="12" t="str">
        <f>("21-2345")</f>
        <v>21-2345</v>
      </c>
      <c r="B8677" s="15" t="s">
        <v>13764</v>
      </c>
      <c r="C8677" s="32">
        <v>431.25</v>
      </c>
    </row>
    <row r="8678" spans="1:3" x14ac:dyDescent="0.25">
      <c r="A8678" s="12" t="str">
        <f>("21-2355")</f>
        <v>21-2355</v>
      </c>
      <c r="B8678" s="15" t="s">
        <v>13765</v>
      </c>
      <c r="C8678" s="32">
        <v>503.75</v>
      </c>
    </row>
    <row r="8679" spans="1:3" x14ac:dyDescent="0.25">
      <c r="A8679" s="12" t="str">
        <f>("21-2365")</f>
        <v>21-2365</v>
      </c>
      <c r="B8679" s="15" t="s">
        <v>13766</v>
      </c>
      <c r="C8679" s="32">
        <v>503.75</v>
      </c>
    </row>
    <row r="8680" spans="1:3" x14ac:dyDescent="0.25">
      <c r="A8680" s="12" t="str">
        <f>("21-2770")</f>
        <v>21-2770</v>
      </c>
      <c r="B8680" s="15" t="s">
        <v>13713</v>
      </c>
      <c r="C8680" s="32">
        <v>867.5</v>
      </c>
    </row>
    <row r="8681" spans="1:3" x14ac:dyDescent="0.25">
      <c r="A8681" s="12" t="str">
        <f>("21-2775")</f>
        <v>21-2775</v>
      </c>
      <c r="B8681" s="15" t="s">
        <v>13713</v>
      </c>
      <c r="C8681" s="32">
        <v>503.75</v>
      </c>
    </row>
    <row r="8682" spans="1:3" x14ac:dyDescent="0.25">
      <c r="A8682" s="12" t="str">
        <f>("21-2905")</f>
        <v>21-2905</v>
      </c>
      <c r="B8682" s="15" t="s">
        <v>13767</v>
      </c>
      <c r="C8682" s="32">
        <v>576.25</v>
      </c>
    </row>
    <row r="8683" spans="1:3" ht="31.5" x14ac:dyDescent="0.25">
      <c r="A8683" s="12" t="str">
        <f>("21-2995")</f>
        <v>21-2995</v>
      </c>
      <c r="B8683" s="15" t="s">
        <v>13768</v>
      </c>
      <c r="C8683" s="32">
        <v>503.75</v>
      </c>
    </row>
    <row r="8684" spans="1:3" x14ac:dyDescent="0.25">
      <c r="A8684" s="12" t="str">
        <f>("21-3005")</f>
        <v>21-3005</v>
      </c>
      <c r="B8684" s="15" t="s">
        <v>13769</v>
      </c>
      <c r="C8684" s="32">
        <v>503.75</v>
      </c>
    </row>
    <row r="8685" spans="1:3" x14ac:dyDescent="0.25">
      <c r="A8685" s="12" t="str">
        <f>("21-3245")</f>
        <v>21-3245</v>
      </c>
      <c r="B8685" s="15" t="s">
        <v>13715</v>
      </c>
      <c r="C8685" s="32">
        <v>503.75</v>
      </c>
    </row>
    <row r="8686" spans="1:3" x14ac:dyDescent="0.25">
      <c r="A8686" s="12" t="str">
        <f>("21-3525")</f>
        <v>21-3525</v>
      </c>
      <c r="B8686" s="15" t="s">
        <v>13770</v>
      </c>
      <c r="C8686" s="32">
        <v>503.75</v>
      </c>
    </row>
    <row r="8687" spans="1:3" x14ac:dyDescent="0.25">
      <c r="A8687" s="12" t="str">
        <f>("21-3540")</f>
        <v>21-3540</v>
      </c>
      <c r="B8687" s="15" t="s">
        <v>13771</v>
      </c>
      <c r="C8687" s="32">
        <v>722.5</v>
      </c>
    </row>
    <row r="8688" spans="1:3" x14ac:dyDescent="0.25">
      <c r="A8688" s="12" t="str">
        <f>("21-3545")</f>
        <v>21-3545</v>
      </c>
      <c r="B8688" s="15" t="s">
        <v>13771</v>
      </c>
      <c r="C8688" s="32">
        <v>431.25</v>
      </c>
    </row>
    <row r="8689" spans="1:3" x14ac:dyDescent="0.25">
      <c r="A8689" s="12" t="str">
        <f>("21-3550")</f>
        <v>21-3550</v>
      </c>
      <c r="B8689" s="15" t="s">
        <v>13718</v>
      </c>
      <c r="C8689" s="32">
        <v>867.5</v>
      </c>
    </row>
    <row r="8690" spans="1:3" x14ac:dyDescent="0.25">
      <c r="A8690" s="12" t="str">
        <f>("21-3555")</f>
        <v>21-3555</v>
      </c>
      <c r="B8690" s="15" t="s">
        <v>13718</v>
      </c>
      <c r="C8690" s="32">
        <v>503.75</v>
      </c>
    </row>
    <row r="8691" spans="1:3" ht="31.5" x14ac:dyDescent="0.25">
      <c r="A8691" s="12" t="str">
        <f>("21-3560")</f>
        <v>21-3560</v>
      </c>
      <c r="B8691" s="15" t="s">
        <v>13719</v>
      </c>
      <c r="C8691" s="32">
        <v>867.5</v>
      </c>
    </row>
    <row r="8692" spans="1:3" ht="31.5" x14ac:dyDescent="0.25">
      <c r="A8692" s="12" t="str">
        <f>("21-3565")</f>
        <v>21-3565</v>
      </c>
      <c r="B8692" s="15" t="s">
        <v>13719</v>
      </c>
      <c r="C8692" s="32">
        <v>503.75</v>
      </c>
    </row>
    <row r="8693" spans="1:3" x14ac:dyDescent="0.25">
      <c r="A8693" s="12" t="str">
        <f>("21-3575")</f>
        <v>21-3575</v>
      </c>
      <c r="B8693" s="15" t="s">
        <v>13772</v>
      </c>
      <c r="C8693" s="32">
        <v>576.25</v>
      </c>
    </row>
    <row r="8694" spans="1:3" x14ac:dyDescent="0.25">
      <c r="A8694" s="12" t="str">
        <f>("21-3585")</f>
        <v>21-3585</v>
      </c>
      <c r="B8694" s="15" t="s">
        <v>13773</v>
      </c>
      <c r="C8694" s="32">
        <v>503.75</v>
      </c>
    </row>
    <row r="8695" spans="1:3" x14ac:dyDescent="0.25">
      <c r="A8695" s="12" t="str">
        <f>("21-3605")</f>
        <v>21-3605</v>
      </c>
      <c r="B8695" s="15" t="s">
        <v>13774</v>
      </c>
      <c r="C8695" s="32">
        <v>503.75</v>
      </c>
    </row>
    <row r="8696" spans="1:3" x14ac:dyDescent="0.25">
      <c r="A8696" s="12" t="str">
        <f>("21-3615")</f>
        <v>21-3615</v>
      </c>
      <c r="B8696" s="15" t="s">
        <v>13775</v>
      </c>
      <c r="C8696" s="32">
        <v>503.75</v>
      </c>
    </row>
    <row r="8697" spans="1:3" ht="31.5" x14ac:dyDescent="0.25">
      <c r="A8697" s="12" t="str">
        <f>("21-3810")</f>
        <v>21-3810</v>
      </c>
      <c r="B8697" s="15" t="s">
        <v>13776</v>
      </c>
      <c r="C8697" s="32">
        <v>867.5</v>
      </c>
    </row>
    <row r="8698" spans="1:3" ht="31.5" x14ac:dyDescent="0.25">
      <c r="A8698" s="12" t="str">
        <f>("21-3815")</f>
        <v>21-3815</v>
      </c>
      <c r="B8698" s="15" t="s">
        <v>13776</v>
      </c>
      <c r="C8698" s="32">
        <v>503.75</v>
      </c>
    </row>
    <row r="8699" spans="1:3" x14ac:dyDescent="0.25">
      <c r="A8699" s="12" t="str">
        <f>("21-3825")</f>
        <v>21-3825</v>
      </c>
      <c r="B8699" s="15" t="s">
        <v>13777</v>
      </c>
      <c r="C8699" s="32">
        <v>503.75</v>
      </c>
    </row>
    <row r="8700" spans="1:3" ht="31.5" x14ac:dyDescent="0.25">
      <c r="A8700" s="12" t="str">
        <f>("21-3835")</f>
        <v>21-3835</v>
      </c>
      <c r="B8700" s="15" t="s">
        <v>13722</v>
      </c>
      <c r="C8700" s="32">
        <v>503.75</v>
      </c>
    </row>
    <row r="8701" spans="1:3" x14ac:dyDescent="0.25">
      <c r="A8701" s="12" t="str">
        <f>("21-3855")</f>
        <v>21-3855</v>
      </c>
      <c r="B8701" s="15" t="s">
        <v>13778</v>
      </c>
      <c r="C8701" s="32">
        <v>503.75</v>
      </c>
    </row>
    <row r="8702" spans="1:3" x14ac:dyDescent="0.25">
      <c r="A8702" s="12" t="str">
        <f>("21-3865")</f>
        <v>21-3865</v>
      </c>
      <c r="B8702" s="15" t="s">
        <v>13779</v>
      </c>
      <c r="C8702" s="32">
        <v>503.75</v>
      </c>
    </row>
    <row r="8703" spans="1:3" x14ac:dyDescent="0.25">
      <c r="A8703" s="12" t="str">
        <f>("21-3920")</f>
        <v>21-3920</v>
      </c>
      <c r="B8703" s="15" t="s">
        <v>13780</v>
      </c>
      <c r="C8703" s="32">
        <v>722.5</v>
      </c>
    </row>
    <row r="8704" spans="1:3" x14ac:dyDescent="0.25">
      <c r="A8704" s="12" t="str">
        <f>("21-3925")</f>
        <v>21-3925</v>
      </c>
      <c r="B8704" s="15" t="s">
        <v>13780</v>
      </c>
      <c r="C8704" s="32">
        <v>431.25</v>
      </c>
    </row>
    <row r="8705" spans="1:3" x14ac:dyDescent="0.25">
      <c r="A8705" s="12" t="str">
        <f>("21-3935")</f>
        <v>21-3935</v>
      </c>
      <c r="B8705" s="15" t="s">
        <v>13723</v>
      </c>
      <c r="C8705" s="32">
        <v>503.75</v>
      </c>
    </row>
    <row r="8706" spans="1:3" x14ac:dyDescent="0.25">
      <c r="A8706" s="12" t="str">
        <f>("21-3945")</f>
        <v>21-3945</v>
      </c>
      <c r="B8706" s="15" t="s">
        <v>13724</v>
      </c>
      <c r="C8706" s="32">
        <v>503.75</v>
      </c>
    </row>
    <row r="8707" spans="1:3" x14ac:dyDescent="0.25">
      <c r="A8707" s="12" t="str">
        <f>("21-4015")</f>
        <v>21-4015</v>
      </c>
      <c r="B8707" s="15" t="s">
        <v>13725</v>
      </c>
      <c r="C8707" s="32">
        <v>503.75</v>
      </c>
    </row>
    <row r="8708" spans="1:3" x14ac:dyDescent="0.25">
      <c r="A8708" s="12" t="str">
        <f>("21-4020")</f>
        <v>21-4020</v>
      </c>
      <c r="B8708" s="15" t="s">
        <v>13781</v>
      </c>
      <c r="C8708" s="32">
        <v>867.5</v>
      </c>
    </row>
    <row r="8709" spans="1:3" x14ac:dyDescent="0.25">
      <c r="A8709" s="12" t="str">
        <f>("21-4065")</f>
        <v>21-4065</v>
      </c>
      <c r="B8709" s="15" t="s">
        <v>13726</v>
      </c>
      <c r="C8709" s="32">
        <v>503.75</v>
      </c>
    </row>
    <row r="8710" spans="1:3" x14ac:dyDescent="0.25">
      <c r="A8710" s="12" t="str">
        <f>("21-4080")</f>
        <v>21-4080</v>
      </c>
      <c r="B8710" s="15" t="s">
        <v>13727</v>
      </c>
      <c r="C8710" s="32">
        <v>867.5</v>
      </c>
    </row>
    <row r="8711" spans="1:3" x14ac:dyDescent="0.25">
      <c r="A8711" s="12" t="str">
        <f>("21-4085")</f>
        <v>21-4085</v>
      </c>
      <c r="B8711" s="15" t="s">
        <v>13727</v>
      </c>
      <c r="C8711" s="32">
        <v>503.75</v>
      </c>
    </row>
    <row r="8712" spans="1:3" x14ac:dyDescent="0.25">
      <c r="A8712" s="12" t="str">
        <f>("21-4095")</f>
        <v>21-4095</v>
      </c>
      <c r="B8712" s="15" t="s">
        <v>13728</v>
      </c>
      <c r="C8712" s="32">
        <v>503.75</v>
      </c>
    </row>
    <row r="8713" spans="1:3" x14ac:dyDescent="0.25">
      <c r="A8713" s="12" t="str">
        <f>("21-4120")</f>
        <v>21-4120</v>
      </c>
      <c r="B8713" s="15" t="s">
        <v>13782</v>
      </c>
      <c r="C8713" s="32">
        <v>866.25</v>
      </c>
    </row>
    <row r="8714" spans="1:3" x14ac:dyDescent="0.25">
      <c r="A8714" s="12" t="str">
        <f>("21-4125")</f>
        <v>21-4125</v>
      </c>
      <c r="B8714" s="15" t="s">
        <v>13782</v>
      </c>
      <c r="C8714" s="32">
        <v>503.75</v>
      </c>
    </row>
    <row r="8715" spans="1:3" x14ac:dyDescent="0.25">
      <c r="A8715" s="12" t="str">
        <f>("21-4130")</f>
        <v>21-4130</v>
      </c>
      <c r="B8715" s="15" t="s">
        <v>13783</v>
      </c>
      <c r="C8715" s="32">
        <v>866.25</v>
      </c>
    </row>
    <row r="8716" spans="1:3" x14ac:dyDescent="0.25">
      <c r="A8716" s="12" t="str">
        <f>("21-4135")</f>
        <v>21-4135</v>
      </c>
      <c r="B8716" s="15" t="s">
        <v>13783</v>
      </c>
      <c r="C8716" s="32">
        <v>503.75</v>
      </c>
    </row>
    <row r="8717" spans="1:3" x14ac:dyDescent="0.25">
      <c r="A8717" s="12" t="str">
        <f>("21-4165")</f>
        <v>21-4165</v>
      </c>
      <c r="B8717" s="15" t="s">
        <v>13731</v>
      </c>
      <c r="C8717" s="32">
        <v>503.75</v>
      </c>
    </row>
    <row r="8718" spans="1:3" x14ac:dyDescent="0.25">
      <c r="A8718" s="12" t="str">
        <f>("21-21310")</f>
        <v>21-21310</v>
      </c>
      <c r="B8718" s="15" t="s">
        <v>13784</v>
      </c>
      <c r="C8718" s="32">
        <v>742.5</v>
      </c>
    </row>
    <row r="8719" spans="1:3" x14ac:dyDescent="0.25">
      <c r="A8719" s="12" t="str">
        <f>("21-21315")</f>
        <v>21-21315</v>
      </c>
      <c r="B8719" s="15" t="s">
        <v>13784</v>
      </c>
      <c r="C8719" s="32">
        <v>468.75</v>
      </c>
    </row>
    <row r="8720" spans="1:3" x14ac:dyDescent="0.25">
      <c r="A8720" s="12" t="str">
        <f>("21-21330")</f>
        <v>21-21330</v>
      </c>
      <c r="B8720" s="15" t="s">
        <v>13710</v>
      </c>
      <c r="C8720" s="32">
        <v>742.5</v>
      </c>
    </row>
    <row r="8721" spans="1:3" x14ac:dyDescent="0.25">
      <c r="A8721" s="12" t="str">
        <f>("21-21335")</f>
        <v>21-21335</v>
      </c>
      <c r="B8721" s="15" t="s">
        <v>13710</v>
      </c>
      <c r="C8721" s="32">
        <v>468.75</v>
      </c>
    </row>
    <row r="8722" spans="1:3" x14ac:dyDescent="0.25">
      <c r="A8722" s="12" t="str">
        <f>("21-21400")</f>
        <v>21-21400</v>
      </c>
      <c r="B8722" s="15" t="s">
        <v>13785</v>
      </c>
      <c r="C8722" s="32">
        <v>613.75</v>
      </c>
    </row>
    <row r="8723" spans="1:3" x14ac:dyDescent="0.25">
      <c r="A8723" s="12" t="str">
        <f>("21-21405")</f>
        <v>21-21405</v>
      </c>
      <c r="B8723" s="15" t="s">
        <v>13785</v>
      </c>
      <c r="C8723" s="32">
        <v>371.25</v>
      </c>
    </row>
    <row r="8724" spans="1:3" ht="31.5" x14ac:dyDescent="0.25">
      <c r="A8724" s="12" t="str">
        <f>("21-21680")</f>
        <v>21-21680</v>
      </c>
      <c r="B8724" s="15" t="s">
        <v>13786</v>
      </c>
      <c r="C8724" s="32">
        <v>742.5</v>
      </c>
    </row>
    <row r="8725" spans="1:3" ht="31.5" x14ac:dyDescent="0.25">
      <c r="A8725" s="12" t="str">
        <f>("21-21685")</f>
        <v>21-21685</v>
      </c>
      <c r="B8725" s="15" t="s">
        <v>13786</v>
      </c>
      <c r="C8725" s="32">
        <v>468.75</v>
      </c>
    </row>
    <row r="8726" spans="1:3" ht="31.5" x14ac:dyDescent="0.25">
      <c r="A8726" s="12" t="str">
        <f>("21-21950")</f>
        <v>21-21950</v>
      </c>
      <c r="B8726" s="15" t="s">
        <v>13787</v>
      </c>
      <c r="C8726" s="32">
        <v>742.5</v>
      </c>
    </row>
    <row r="8727" spans="1:3" ht="31.5" x14ac:dyDescent="0.25">
      <c r="A8727" s="12" t="str">
        <f>("21-21955")</f>
        <v>21-21955</v>
      </c>
      <c r="B8727" s="15" t="s">
        <v>13787</v>
      </c>
      <c r="C8727" s="32">
        <v>468.75</v>
      </c>
    </row>
    <row r="8728" spans="1:3" x14ac:dyDescent="0.25">
      <c r="A8728" s="12" t="str">
        <f>("21-22670")</f>
        <v>21-22670</v>
      </c>
      <c r="B8728" s="15" t="s">
        <v>13788</v>
      </c>
      <c r="C8728" s="32">
        <v>742.5</v>
      </c>
    </row>
    <row r="8729" spans="1:3" x14ac:dyDescent="0.25">
      <c r="A8729" s="12" t="str">
        <f>("21-22675")</f>
        <v>21-22675</v>
      </c>
      <c r="B8729" s="15" t="s">
        <v>13788</v>
      </c>
      <c r="C8729" s="32">
        <v>468.75</v>
      </c>
    </row>
    <row r="8730" spans="1:3" x14ac:dyDescent="0.25">
      <c r="A8730" s="12" t="str">
        <f>("21-22770")</f>
        <v>21-22770</v>
      </c>
      <c r="B8730" s="15" t="s">
        <v>13713</v>
      </c>
      <c r="C8730" s="32">
        <v>742.5</v>
      </c>
    </row>
    <row r="8731" spans="1:3" x14ac:dyDescent="0.25">
      <c r="A8731" s="12" t="str">
        <f>("21-22775")</f>
        <v>21-22775</v>
      </c>
      <c r="B8731" s="15" t="s">
        <v>13713</v>
      </c>
      <c r="C8731" s="32">
        <v>468.75</v>
      </c>
    </row>
    <row r="8732" spans="1:3" x14ac:dyDescent="0.25">
      <c r="A8732" s="12" t="str">
        <f>("21-22785")</f>
        <v>21-22785</v>
      </c>
      <c r="B8732" s="15" t="s">
        <v>13714</v>
      </c>
      <c r="C8732" s="32">
        <v>468.75</v>
      </c>
    </row>
    <row r="8733" spans="1:3" x14ac:dyDescent="0.25">
      <c r="A8733" s="12" t="str">
        <f>("21-22790")</f>
        <v>21-22790</v>
      </c>
      <c r="B8733" s="15" t="s">
        <v>13789</v>
      </c>
      <c r="C8733" s="32">
        <v>690</v>
      </c>
    </row>
    <row r="8734" spans="1:3" x14ac:dyDescent="0.25">
      <c r="A8734" s="12" t="str">
        <f>("21-22795")</f>
        <v>21-22795</v>
      </c>
      <c r="B8734" s="15" t="s">
        <v>13789</v>
      </c>
      <c r="C8734" s="32">
        <v>446.25</v>
      </c>
    </row>
    <row r="8735" spans="1:3" x14ac:dyDescent="0.25">
      <c r="A8735" s="12" t="str">
        <f>("21-23240")</f>
        <v>21-23240</v>
      </c>
      <c r="B8735" s="15" t="s">
        <v>13715</v>
      </c>
      <c r="C8735" s="32">
        <v>742.5</v>
      </c>
    </row>
    <row r="8736" spans="1:3" x14ac:dyDescent="0.25">
      <c r="A8736" s="12" t="str">
        <f>("21-23245")</f>
        <v>21-23245</v>
      </c>
      <c r="B8736" s="15" t="s">
        <v>13715</v>
      </c>
      <c r="C8736" s="32">
        <v>468.75</v>
      </c>
    </row>
    <row r="8737" spans="1:3" x14ac:dyDescent="0.25">
      <c r="A8737" s="12" t="str">
        <f>("21-23250")</f>
        <v>21-23250</v>
      </c>
      <c r="B8737" s="15" t="s">
        <v>13716</v>
      </c>
      <c r="C8737" s="32">
        <v>742.5</v>
      </c>
    </row>
    <row r="8738" spans="1:3" x14ac:dyDescent="0.25">
      <c r="A8738" s="12" t="str">
        <f>("21-23255")</f>
        <v>21-23255</v>
      </c>
      <c r="B8738" s="15" t="s">
        <v>13716</v>
      </c>
      <c r="C8738" s="32">
        <v>468.75</v>
      </c>
    </row>
    <row r="8739" spans="1:3" x14ac:dyDescent="0.25">
      <c r="A8739" s="12" t="str">
        <f>("21-23290")</f>
        <v>21-23290</v>
      </c>
      <c r="B8739" s="15" t="s">
        <v>13717</v>
      </c>
      <c r="C8739" s="32">
        <v>742.5</v>
      </c>
    </row>
    <row r="8740" spans="1:3" x14ac:dyDescent="0.25">
      <c r="A8740" s="12" t="str">
        <f>("21-23295")</f>
        <v>21-23295</v>
      </c>
      <c r="B8740" s="15" t="s">
        <v>13717</v>
      </c>
      <c r="C8740" s="32">
        <v>468.75</v>
      </c>
    </row>
    <row r="8741" spans="1:3" x14ac:dyDescent="0.25">
      <c r="A8741" s="12" t="str">
        <f>("21-23310")</f>
        <v>21-23310</v>
      </c>
      <c r="B8741" s="15" t="s">
        <v>13790</v>
      </c>
      <c r="C8741" s="32">
        <v>613.75</v>
      </c>
    </row>
    <row r="8742" spans="1:3" x14ac:dyDescent="0.25">
      <c r="A8742" s="12" t="str">
        <f>("21-23315")</f>
        <v>21-23315</v>
      </c>
      <c r="B8742" s="15" t="s">
        <v>13790</v>
      </c>
      <c r="C8742" s="32">
        <v>371.25</v>
      </c>
    </row>
    <row r="8743" spans="1:3" x14ac:dyDescent="0.25">
      <c r="A8743" s="12" t="str">
        <f>("21-23510")</f>
        <v>21-23510</v>
      </c>
      <c r="B8743" s="15" t="s">
        <v>13791</v>
      </c>
      <c r="C8743" s="32">
        <v>742.5</v>
      </c>
    </row>
    <row r="8744" spans="1:3" x14ac:dyDescent="0.25">
      <c r="A8744" s="12" t="str">
        <f>("21-23515")</f>
        <v>21-23515</v>
      </c>
      <c r="B8744" s="15" t="s">
        <v>13791</v>
      </c>
      <c r="C8744" s="32">
        <v>468.75</v>
      </c>
    </row>
    <row r="8745" spans="1:3" x14ac:dyDescent="0.25">
      <c r="A8745" s="12" t="str">
        <f>("21-23520")</f>
        <v>21-23520</v>
      </c>
      <c r="B8745" s="15" t="s">
        <v>13770</v>
      </c>
      <c r="C8745" s="32">
        <v>742.5</v>
      </c>
    </row>
    <row r="8746" spans="1:3" x14ac:dyDescent="0.25">
      <c r="A8746" s="12" t="str">
        <f>("21-23525")</f>
        <v>21-23525</v>
      </c>
      <c r="B8746" s="15" t="s">
        <v>13770</v>
      </c>
      <c r="C8746" s="32">
        <v>468.75</v>
      </c>
    </row>
    <row r="8747" spans="1:3" x14ac:dyDescent="0.25">
      <c r="A8747" s="12" t="str">
        <f>("21-23550")</f>
        <v>21-23550</v>
      </c>
      <c r="B8747" s="15" t="s">
        <v>13718</v>
      </c>
      <c r="C8747" s="32">
        <v>742.5</v>
      </c>
    </row>
    <row r="8748" spans="1:3" x14ac:dyDescent="0.25">
      <c r="A8748" s="12" t="str">
        <f>("21-23555")</f>
        <v>21-23555</v>
      </c>
      <c r="B8748" s="15" t="s">
        <v>13718</v>
      </c>
      <c r="C8748" s="32">
        <v>468.75</v>
      </c>
    </row>
    <row r="8749" spans="1:3" ht="31.5" x14ac:dyDescent="0.25">
      <c r="A8749" s="12" t="str">
        <f>("21-23560")</f>
        <v>21-23560</v>
      </c>
      <c r="B8749" s="15" t="s">
        <v>13719</v>
      </c>
      <c r="C8749" s="32">
        <v>742.5</v>
      </c>
    </row>
    <row r="8750" spans="1:3" ht="31.5" x14ac:dyDescent="0.25">
      <c r="A8750" s="12" t="str">
        <f>("21-23565")</f>
        <v>21-23565</v>
      </c>
      <c r="B8750" s="15" t="s">
        <v>13719</v>
      </c>
      <c r="C8750" s="32">
        <v>468.75</v>
      </c>
    </row>
    <row r="8751" spans="1:3" x14ac:dyDescent="0.25">
      <c r="A8751" s="12" t="str">
        <f>("21-23580")</f>
        <v>21-23580</v>
      </c>
      <c r="B8751" s="15" t="s">
        <v>13792</v>
      </c>
      <c r="C8751" s="32">
        <v>742.5</v>
      </c>
    </row>
    <row r="8752" spans="1:3" x14ac:dyDescent="0.25">
      <c r="A8752" s="12" t="str">
        <f>("21-23585")</f>
        <v>21-23585</v>
      </c>
      <c r="B8752" s="15" t="s">
        <v>13792</v>
      </c>
      <c r="C8752" s="32">
        <v>468.75</v>
      </c>
    </row>
    <row r="8753" spans="1:3" x14ac:dyDescent="0.25">
      <c r="A8753" s="12" t="str">
        <f>("21-23700")</f>
        <v>21-23700</v>
      </c>
      <c r="B8753" s="15" t="s">
        <v>13793</v>
      </c>
      <c r="C8753" s="32">
        <v>613.75</v>
      </c>
    </row>
    <row r="8754" spans="1:3" x14ac:dyDescent="0.25">
      <c r="A8754" s="12" t="str">
        <f>("21-23705")</f>
        <v>21-23705</v>
      </c>
      <c r="B8754" s="15" t="s">
        <v>13793</v>
      </c>
      <c r="C8754" s="32">
        <v>371.25</v>
      </c>
    </row>
    <row r="8755" spans="1:3" ht="31.5" x14ac:dyDescent="0.25">
      <c r="A8755" s="12" t="str">
        <f>("21-23710")</f>
        <v>21-23710</v>
      </c>
      <c r="B8755" s="15" t="s">
        <v>13794</v>
      </c>
      <c r="C8755" s="32">
        <v>742.5</v>
      </c>
    </row>
    <row r="8756" spans="1:3" ht="31.5" x14ac:dyDescent="0.25">
      <c r="A8756" s="12" t="str">
        <f>("21-23715")</f>
        <v>21-23715</v>
      </c>
      <c r="B8756" s="15" t="s">
        <v>13794</v>
      </c>
      <c r="C8756" s="32">
        <v>468.75</v>
      </c>
    </row>
    <row r="8757" spans="1:3" x14ac:dyDescent="0.25">
      <c r="A8757" s="12" t="str">
        <f>("21-23720")</f>
        <v>21-23720</v>
      </c>
      <c r="B8757" s="15" t="s">
        <v>13795</v>
      </c>
      <c r="C8757" s="32">
        <v>742.5</v>
      </c>
    </row>
    <row r="8758" spans="1:3" x14ac:dyDescent="0.25">
      <c r="A8758" s="12" t="str">
        <f>("21-23725")</f>
        <v>21-23725</v>
      </c>
      <c r="B8758" s="15" t="s">
        <v>13795</v>
      </c>
      <c r="C8758" s="32">
        <v>468.75</v>
      </c>
    </row>
    <row r="8759" spans="1:3" x14ac:dyDescent="0.25">
      <c r="A8759" s="12" t="str">
        <f>("21-23830")</f>
        <v>21-23830</v>
      </c>
      <c r="B8759" s="15" t="s">
        <v>13796</v>
      </c>
      <c r="C8759" s="32">
        <v>742.5</v>
      </c>
    </row>
    <row r="8760" spans="1:3" x14ac:dyDescent="0.25">
      <c r="A8760" s="12" t="str">
        <f>("21-23835")</f>
        <v>21-23835</v>
      </c>
      <c r="B8760" s="15" t="s">
        <v>13796</v>
      </c>
      <c r="C8760" s="32">
        <v>468.75</v>
      </c>
    </row>
    <row r="8761" spans="1:3" x14ac:dyDescent="0.25">
      <c r="A8761" s="12" t="str">
        <f>("21-23840")</f>
        <v>21-23840</v>
      </c>
      <c r="B8761" s="15" t="s">
        <v>13797</v>
      </c>
      <c r="C8761" s="32">
        <v>613.75</v>
      </c>
    </row>
    <row r="8762" spans="1:3" x14ac:dyDescent="0.25">
      <c r="A8762" s="12" t="str">
        <f>("21-23930")</f>
        <v>21-23930</v>
      </c>
      <c r="B8762" s="15" t="s">
        <v>13723</v>
      </c>
      <c r="C8762" s="32">
        <v>742.5</v>
      </c>
    </row>
    <row r="8763" spans="1:3" x14ac:dyDescent="0.25">
      <c r="A8763" s="12" t="str">
        <f>("21-23935")</f>
        <v>21-23935</v>
      </c>
      <c r="B8763" s="15" t="s">
        <v>13723</v>
      </c>
      <c r="C8763" s="32">
        <v>468.75</v>
      </c>
    </row>
    <row r="8764" spans="1:3" x14ac:dyDescent="0.25">
      <c r="A8764" s="12" t="str">
        <f>("21-23940")</f>
        <v>21-23940</v>
      </c>
      <c r="B8764" s="15" t="s">
        <v>13724</v>
      </c>
      <c r="C8764" s="32">
        <v>742.5</v>
      </c>
    </row>
    <row r="8765" spans="1:3" x14ac:dyDescent="0.25">
      <c r="A8765" s="12" t="str">
        <f>("21-23945")</f>
        <v>21-23945</v>
      </c>
      <c r="B8765" s="15" t="s">
        <v>13724</v>
      </c>
      <c r="C8765" s="32">
        <v>468.75</v>
      </c>
    </row>
    <row r="8766" spans="1:3" x14ac:dyDescent="0.25">
      <c r="A8766" s="12" t="str">
        <f>("21-24000")</f>
        <v>21-24000</v>
      </c>
      <c r="B8766" s="15" t="s">
        <v>13798</v>
      </c>
      <c r="C8766" s="32">
        <v>742.5</v>
      </c>
    </row>
    <row r="8767" spans="1:3" x14ac:dyDescent="0.25">
      <c r="A8767" s="12" t="str">
        <f>("21-24005")</f>
        <v>21-24005</v>
      </c>
      <c r="B8767" s="15" t="s">
        <v>13798</v>
      </c>
      <c r="C8767" s="32">
        <v>468.75</v>
      </c>
    </row>
    <row r="8768" spans="1:3" x14ac:dyDescent="0.25">
      <c r="A8768" s="12" t="str">
        <f>("21-24010")</f>
        <v>21-24010</v>
      </c>
      <c r="B8768" s="15" t="s">
        <v>13725</v>
      </c>
      <c r="C8768" s="32">
        <v>742.5</v>
      </c>
    </row>
    <row r="8769" spans="1:3" x14ac:dyDescent="0.25">
      <c r="A8769" s="12" t="str">
        <f>("21-24015")</f>
        <v>21-24015</v>
      </c>
      <c r="B8769" s="15" t="s">
        <v>13725</v>
      </c>
      <c r="C8769" s="32">
        <v>468.75</v>
      </c>
    </row>
    <row r="8770" spans="1:3" x14ac:dyDescent="0.25">
      <c r="A8770" s="12" t="str">
        <f>("21-24020")</f>
        <v>21-24020</v>
      </c>
      <c r="B8770" s="15" t="s">
        <v>13799</v>
      </c>
      <c r="C8770" s="32">
        <v>742.5</v>
      </c>
    </row>
    <row r="8771" spans="1:3" x14ac:dyDescent="0.25">
      <c r="A8771" s="12" t="str">
        <f>("21-24025")</f>
        <v>21-24025</v>
      </c>
      <c r="B8771" s="15" t="s">
        <v>13799</v>
      </c>
      <c r="C8771" s="32">
        <v>468.75</v>
      </c>
    </row>
    <row r="8772" spans="1:3" x14ac:dyDescent="0.25">
      <c r="A8772" s="12" t="str">
        <f>("21-24050")</f>
        <v>21-24050</v>
      </c>
      <c r="B8772" s="15" t="s">
        <v>13800</v>
      </c>
      <c r="C8772" s="32">
        <v>613.75</v>
      </c>
    </row>
    <row r="8773" spans="1:3" x14ac:dyDescent="0.25">
      <c r="A8773" s="12" t="str">
        <f>("21-24055")</f>
        <v>21-24055</v>
      </c>
      <c r="B8773" s="15" t="s">
        <v>13800</v>
      </c>
      <c r="C8773" s="32">
        <v>371.25</v>
      </c>
    </row>
    <row r="8774" spans="1:3" x14ac:dyDescent="0.25">
      <c r="A8774" s="12" t="str">
        <f>("21-24060")</f>
        <v>21-24060</v>
      </c>
      <c r="B8774" s="15" t="s">
        <v>13726</v>
      </c>
      <c r="C8774" s="32">
        <v>742.5</v>
      </c>
    </row>
    <row r="8775" spans="1:3" x14ac:dyDescent="0.25">
      <c r="A8775" s="12" t="str">
        <f>("21-24065")</f>
        <v>21-24065</v>
      </c>
      <c r="B8775" s="15" t="s">
        <v>13726</v>
      </c>
      <c r="C8775" s="32">
        <v>468.75</v>
      </c>
    </row>
    <row r="8776" spans="1:3" x14ac:dyDescent="0.25">
      <c r="A8776" s="12" t="str">
        <f>("21-24080")</f>
        <v>21-24080</v>
      </c>
      <c r="B8776" s="15" t="s">
        <v>13727</v>
      </c>
      <c r="C8776" s="32">
        <v>742.5</v>
      </c>
    </row>
    <row r="8777" spans="1:3" x14ac:dyDescent="0.25">
      <c r="A8777" s="12" t="str">
        <f>("21-24085")</f>
        <v>21-24085</v>
      </c>
      <c r="B8777" s="15" t="s">
        <v>13727</v>
      </c>
      <c r="C8777" s="32">
        <v>468.75</v>
      </c>
    </row>
    <row r="8778" spans="1:3" x14ac:dyDescent="0.25">
      <c r="A8778" s="12" t="str">
        <f>("21-24090")</f>
        <v>21-24090</v>
      </c>
      <c r="B8778" s="15" t="s">
        <v>13728</v>
      </c>
      <c r="C8778" s="32">
        <v>742.5</v>
      </c>
    </row>
    <row r="8779" spans="1:3" x14ac:dyDescent="0.25">
      <c r="A8779" s="12" t="str">
        <f>("21-24095")</f>
        <v>21-24095</v>
      </c>
      <c r="B8779" s="15" t="s">
        <v>13728</v>
      </c>
      <c r="C8779" s="32">
        <v>468.75</v>
      </c>
    </row>
    <row r="8780" spans="1:3" x14ac:dyDescent="0.25">
      <c r="A8780" s="12" t="str">
        <f>("21-24110")</f>
        <v>21-24110</v>
      </c>
      <c r="B8780" s="15" t="s">
        <v>13801</v>
      </c>
      <c r="C8780" s="32">
        <v>613.75</v>
      </c>
    </row>
    <row r="8781" spans="1:3" x14ac:dyDescent="0.25">
      <c r="A8781" s="12" t="str">
        <f>("21-24115")</f>
        <v>21-24115</v>
      </c>
      <c r="B8781" s="15" t="s">
        <v>13801</v>
      </c>
      <c r="C8781" s="32">
        <v>371.25</v>
      </c>
    </row>
    <row r="8782" spans="1:3" ht="31.5" x14ac:dyDescent="0.25">
      <c r="A8782" s="12" t="str">
        <f>("21-24120")</f>
        <v>21-24120</v>
      </c>
      <c r="B8782" s="15" t="s">
        <v>13729</v>
      </c>
      <c r="C8782" s="32">
        <v>742.5</v>
      </c>
    </row>
    <row r="8783" spans="1:3" ht="31.5" x14ac:dyDescent="0.25">
      <c r="A8783" s="12" t="str">
        <f>("21-24125")</f>
        <v>21-24125</v>
      </c>
      <c r="B8783" s="15" t="s">
        <v>13729</v>
      </c>
      <c r="C8783" s="32">
        <v>468.75</v>
      </c>
    </row>
    <row r="8784" spans="1:3" ht="31.5" x14ac:dyDescent="0.25">
      <c r="A8784" s="12" t="str">
        <f>("21-24130")</f>
        <v>21-24130</v>
      </c>
      <c r="B8784" s="15" t="s">
        <v>13730</v>
      </c>
      <c r="C8784" s="32">
        <v>742.5</v>
      </c>
    </row>
    <row r="8785" spans="1:3" ht="31.5" x14ac:dyDescent="0.25">
      <c r="A8785" s="12" t="str">
        <f>("21-24135")</f>
        <v>21-24135</v>
      </c>
      <c r="B8785" s="15" t="s">
        <v>13730</v>
      </c>
      <c r="C8785" s="32">
        <v>468.75</v>
      </c>
    </row>
    <row r="8786" spans="1:3" x14ac:dyDescent="0.25">
      <c r="A8786" s="12" t="str">
        <f>("21-24140")</f>
        <v>21-24140</v>
      </c>
      <c r="B8786" s="15" t="s">
        <v>13802</v>
      </c>
      <c r="C8786" s="32">
        <v>742.5</v>
      </c>
    </row>
    <row r="8787" spans="1:3" x14ac:dyDescent="0.25">
      <c r="A8787" s="12" t="str">
        <f>("21-24145")</f>
        <v>21-24145</v>
      </c>
      <c r="B8787" s="15" t="s">
        <v>13802</v>
      </c>
      <c r="C8787" s="32">
        <v>468.75</v>
      </c>
    </row>
    <row r="8788" spans="1:3" x14ac:dyDescent="0.25">
      <c r="A8788" s="12" t="str">
        <f>("21-24150")</f>
        <v>21-24150</v>
      </c>
      <c r="B8788" s="15" t="s">
        <v>13803</v>
      </c>
      <c r="C8788" s="32">
        <v>742.5</v>
      </c>
    </row>
    <row r="8789" spans="1:3" x14ac:dyDescent="0.25">
      <c r="A8789" s="12" t="str">
        <f>("21-24155")</f>
        <v>21-24155</v>
      </c>
      <c r="B8789" s="15" t="s">
        <v>13803</v>
      </c>
      <c r="C8789" s="32">
        <v>468.75</v>
      </c>
    </row>
    <row r="8790" spans="1:3" x14ac:dyDescent="0.25">
      <c r="A8790" s="12" t="str">
        <f>("21-24160")</f>
        <v>21-24160</v>
      </c>
      <c r="B8790" s="15" t="s">
        <v>13731</v>
      </c>
      <c r="C8790" s="32">
        <v>742.5</v>
      </c>
    </row>
    <row r="8791" spans="1:3" x14ac:dyDescent="0.25">
      <c r="A8791" s="12" t="str">
        <f>("21-24165")</f>
        <v>21-24165</v>
      </c>
      <c r="B8791" s="15" t="s">
        <v>13731</v>
      </c>
      <c r="C8791" s="32">
        <v>468.75</v>
      </c>
    </row>
    <row r="8792" spans="1:3" x14ac:dyDescent="0.25">
      <c r="A8792" s="12" t="str">
        <f>("21-24170")</f>
        <v>21-24170</v>
      </c>
      <c r="B8792" s="15" t="s">
        <v>13804</v>
      </c>
      <c r="C8792" s="32">
        <v>742.5</v>
      </c>
    </row>
    <row r="8793" spans="1:3" x14ac:dyDescent="0.25">
      <c r="A8793" s="12" t="str">
        <f>("21-24175")</f>
        <v>21-24175</v>
      </c>
      <c r="B8793" s="15" t="s">
        <v>13804</v>
      </c>
      <c r="C8793" s="32">
        <v>468.75</v>
      </c>
    </row>
    <row r="8794" spans="1:3" x14ac:dyDescent="0.25">
      <c r="A8794" s="12" t="str">
        <f>("21-24185")</f>
        <v>21-24185</v>
      </c>
      <c r="B8794" s="15" t="s">
        <v>13732</v>
      </c>
      <c r="C8794" s="32">
        <v>468.75</v>
      </c>
    </row>
    <row r="8795" spans="1:3" x14ac:dyDescent="0.25">
      <c r="A8795" s="12" t="str">
        <f>("21-24195")</f>
        <v>21-24195</v>
      </c>
      <c r="B8795" s="15" t="s">
        <v>13733</v>
      </c>
      <c r="C8795" s="32">
        <v>468.75</v>
      </c>
    </row>
    <row r="8796" spans="1:3" x14ac:dyDescent="0.25">
      <c r="A8796" s="12" t="str">
        <f>("21-24210")</f>
        <v>21-24210</v>
      </c>
      <c r="B8796" s="15" t="s">
        <v>13805</v>
      </c>
      <c r="C8796" s="32">
        <v>742.5</v>
      </c>
    </row>
    <row r="8797" spans="1:3" x14ac:dyDescent="0.25">
      <c r="A8797" s="12" t="str">
        <f>("21-24215")</f>
        <v>21-24215</v>
      </c>
      <c r="B8797" s="15" t="s">
        <v>13805</v>
      </c>
      <c r="C8797" s="32">
        <v>468.75</v>
      </c>
    </row>
    <row r="8798" spans="1:3" x14ac:dyDescent="0.25">
      <c r="A8798" s="12" t="str">
        <f>("21-24220")</f>
        <v>21-24220</v>
      </c>
      <c r="B8798" s="15" t="s">
        <v>13734</v>
      </c>
      <c r="C8798" s="32">
        <v>742.5</v>
      </c>
    </row>
    <row r="8799" spans="1:3" x14ac:dyDescent="0.25">
      <c r="A8799" s="12" t="str">
        <f>("21-24225")</f>
        <v>21-24225</v>
      </c>
      <c r="B8799" s="15" t="s">
        <v>13734</v>
      </c>
      <c r="C8799" s="32">
        <v>468.75</v>
      </c>
    </row>
    <row r="8800" spans="1:3" x14ac:dyDescent="0.25">
      <c r="A8800" s="12" t="str">
        <f>("21-24230")</f>
        <v>21-24230</v>
      </c>
      <c r="B8800" s="15" t="s">
        <v>13735</v>
      </c>
      <c r="C8800" s="32">
        <v>742.5</v>
      </c>
    </row>
    <row r="8801" spans="1:3" x14ac:dyDescent="0.25">
      <c r="A8801" s="12" t="str">
        <f>("21-24235")</f>
        <v>21-24235</v>
      </c>
      <c r="B8801" s="15" t="s">
        <v>13735</v>
      </c>
      <c r="C8801" s="32">
        <v>468.75</v>
      </c>
    </row>
    <row r="8802" spans="1:3" x14ac:dyDescent="0.25">
      <c r="A8802" s="12" t="str">
        <f>("21-51310")</f>
        <v>21-51310</v>
      </c>
      <c r="B8802" s="15" t="s">
        <v>13784</v>
      </c>
      <c r="C8802" s="32">
        <v>896.25</v>
      </c>
    </row>
    <row r="8803" spans="1:3" x14ac:dyDescent="0.25">
      <c r="A8803" s="12" t="str">
        <f>("21-51315")</f>
        <v>21-51315</v>
      </c>
      <c r="B8803" s="15" t="s">
        <v>13784</v>
      </c>
      <c r="C8803" s="32">
        <v>735</v>
      </c>
    </row>
    <row r="8804" spans="1:3" x14ac:dyDescent="0.25">
      <c r="A8804" s="12" t="str">
        <f>("21-51330")</f>
        <v>21-51330</v>
      </c>
      <c r="B8804" s="15" t="s">
        <v>13710</v>
      </c>
      <c r="C8804" s="32">
        <v>896.25</v>
      </c>
    </row>
    <row r="8805" spans="1:3" x14ac:dyDescent="0.25">
      <c r="A8805" s="12" t="str">
        <f>("21-51335")</f>
        <v>21-51335</v>
      </c>
      <c r="B8805" s="15" t="s">
        <v>13710</v>
      </c>
      <c r="C8805" s="32">
        <v>735</v>
      </c>
    </row>
    <row r="8806" spans="1:3" ht="31.5" x14ac:dyDescent="0.25">
      <c r="A8806" s="12" t="str">
        <f>("21-51950")</f>
        <v>21-51950</v>
      </c>
      <c r="B8806" s="15" t="s">
        <v>13787</v>
      </c>
      <c r="C8806" s="32">
        <v>896.25</v>
      </c>
    </row>
    <row r="8807" spans="1:3" ht="31.5" x14ac:dyDescent="0.25">
      <c r="A8807" s="12" t="str">
        <f>("21-51955")</f>
        <v>21-51955</v>
      </c>
      <c r="B8807" s="15" t="s">
        <v>13787</v>
      </c>
      <c r="C8807" s="32">
        <v>735</v>
      </c>
    </row>
    <row r="8808" spans="1:3" x14ac:dyDescent="0.25">
      <c r="A8808" s="12" t="str">
        <f>("21-52770")</f>
        <v>21-52770</v>
      </c>
      <c r="B8808" s="15" t="s">
        <v>13713</v>
      </c>
      <c r="C8808" s="32">
        <v>896.25</v>
      </c>
    </row>
    <row r="8809" spans="1:3" x14ac:dyDescent="0.25">
      <c r="A8809" s="12" t="str">
        <f>("21-52775")</f>
        <v>21-52775</v>
      </c>
      <c r="B8809" s="15" t="s">
        <v>13713</v>
      </c>
      <c r="C8809" s="32">
        <v>735</v>
      </c>
    </row>
    <row r="8810" spans="1:3" x14ac:dyDescent="0.25">
      <c r="A8810" s="12" t="str">
        <f>("21-52785")</f>
        <v>21-52785</v>
      </c>
      <c r="B8810" s="15" t="s">
        <v>13714</v>
      </c>
      <c r="C8810" s="32">
        <v>896.25</v>
      </c>
    </row>
    <row r="8811" spans="1:3" x14ac:dyDescent="0.25">
      <c r="A8811" s="12" t="str">
        <f>("21-53240")</f>
        <v>21-53240</v>
      </c>
      <c r="B8811" s="15" t="s">
        <v>13715</v>
      </c>
      <c r="C8811" s="32">
        <v>896.25</v>
      </c>
    </row>
    <row r="8812" spans="1:3" x14ac:dyDescent="0.25">
      <c r="A8812" s="12" t="str">
        <f>("21-53245")</f>
        <v>21-53245</v>
      </c>
      <c r="B8812" s="15" t="s">
        <v>13715</v>
      </c>
      <c r="C8812" s="32">
        <v>735</v>
      </c>
    </row>
    <row r="8813" spans="1:3" x14ac:dyDescent="0.25">
      <c r="A8813" s="12" t="str">
        <f>("21-53250")</f>
        <v>21-53250</v>
      </c>
      <c r="B8813" s="15" t="s">
        <v>13716</v>
      </c>
      <c r="C8813" s="32">
        <v>896.25</v>
      </c>
    </row>
    <row r="8814" spans="1:3" x14ac:dyDescent="0.25">
      <c r="A8814" s="12" t="str">
        <f>("21-53255")</f>
        <v>21-53255</v>
      </c>
      <c r="B8814" s="15" t="s">
        <v>13716</v>
      </c>
      <c r="C8814" s="32">
        <v>735</v>
      </c>
    </row>
    <row r="8815" spans="1:3" x14ac:dyDescent="0.25">
      <c r="A8815" s="12" t="str">
        <f>("21-53515")</f>
        <v>21-53515</v>
      </c>
      <c r="B8815" s="15" t="s">
        <v>13791</v>
      </c>
      <c r="C8815" s="32">
        <v>735</v>
      </c>
    </row>
    <row r="8816" spans="1:3" x14ac:dyDescent="0.25">
      <c r="A8816" s="12" t="str">
        <f>("21-53520")</f>
        <v>21-53520</v>
      </c>
      <c r="B8816" s="15" t="s">
        <v>13770</v>
      </c>
      <c r="C8816" s="32">
        <v>896.25</v>
      </c>
    </row>
    <row r="8817" spans="1:3" x14ac:dyDescent="0.25">
      <c r="A8817" s="12" t="str">
        <f>("21-53525")</f>
        <v>21-53525</v>
      </c>
      <c r="B8817" s="15" t="s">
        <v>13770</v>
      </c>
      <c r="C8817" s="32">
        <v>735</v>
      </c>
    </row>
    <row r="8818" spans="1:3" x14ac:dyDescent="0.25">
      <c r="A8818" s="12" t="str">
        <f>("21-53550")</f>
        <v>21-53550</v>
      </c>
      <c r="B8818" s="15" t="s">
        <v>13718</v>
      </c>
      <c r="C8818" s="32">
        <v>896.25</v>
      </c>
    </row>
    <row r="8819" spans="1:3" x14ac:dyDescent="0.25">
      <c r="A8819" s="12" t="str">
        <f>("21-53555")</f>
        <v>21-53555</v>
      </c>
      <c r="B8819" s="15" t="s">
        <v>13718</v>
      </c>
      <c r="C8819" s="32">
        <v>735</v>
      </c>
    </row>
    <row r="8820" spans="1:3" ht="31.5" x14ac:dyDescent="0.25">
      <c r="A8820" s="12" t="str">
        <f>("21-53560")</f>
        <v>21-53560</v>
      </c>
      <c r="B8820" s="15" t="s">
        <v>13719</v>
      </c>
      <c r="C8820" s="32">
        <v>896.25</v>
      </c>
    </row>
    <row r="8821" spans="1:3" ht="31.5" x14ac:dyDescent="0.25">
      <c r="A8821" s="12" t="str">
        <f>("21-53565")</f>
        <v>21-53565</v>
      </c>
      <c r="B8821" s="15" t="s">
        <v>13719</v>
      </c>
      <c r="C8821" s="32">
        <v>735</v>
      </c>
    </row>
    <row r="8822" spans="1:3" x14ac:dyDescent="0.25">
      <c r="A8822" s="12" t="str">
        <f>("21-53580")</f>
        <v>21-53580</v>
      </c>
      <c r="B8822" s="15" t="s">
        <v>13792</v>
      </c>
      <c r="C8822" s="32">
        <v>896.25</v>
      </c>
    </row>
    <row r="8823" spans="1:3" x14ac:dyDescent="0.25">
      <c r="A8823" s="12" t="str">
        <f>("21-53585")</f>
        <v>21-53585</v>
      </c>
      <c r="B8823" s="15" t="s">
        <v>13792</v>
      </c>
      <c r="C8823" s="32">
        <v>735</v>
      </c>
    </row>
    <row r="8824" spans="1:3" x14ac:dyDescent="0.25">
      <c r="A8824" s="12" t="str">
        <f>("21-53705")</f>
        <v>21-53705</v>
      </c>
      <c r="B8824" s="15" t="s">
        <v>13806</v>
      </c>
      <c r="C8824" s="32">
        <v>508.75</v>
      </c>
    </row>
    <row r="8825" spans="1:3" ht="31.5" x14ac:dyDescent="0.25">
      <c r="A8825" s="12" t="str">
        <f>("21-53710")</f>
        <v>21-53710</v>
      </c>
      <c r="B8825" s="15" t="s">
        <v>13794</v>
      </c>
      <c r="C8825" s="32">
        <v>896.25</v>
      </c>
    </row>
    <row r="8826" spans="1:3" ht="31.5" x14ac:dyDescent="0.25">
      <c r="A8826" s="12" t="str">
        <f>("21-53715")</f>
        <v>21-53715</v>
      </c>
      <c r="B8826" s="15" t="s">
        <v>13794</v>
      </c>
      <c r="C8826" s="32">
        <v>735</v>
      </c>
    </row>
    <row r="8827" spans="1:3" x14ac:dyDescent="0.25">
      <c r="A8827" s="12" t="str">
        <f>("21-53720")</f>
        <v>21-53720</v>
      </c>
      <c r="B8827" s="15" t="s">
        <v>13795</v>
      </c>
      <c r="C8827" s="32">
        <v>896.25</v>
      </c>
    </row>
    <row r="8828" spans="1:3" x14ac:dyDescent="0.25">
      <c r="A8828" s="12" t="str">
        <f>("21-53725")</f>
        <v>21-53725</v>
      </c>
      <c r="B8828" s="15" t="s">
        <v>13795</v>
      </c>
      <c r="C8828" s="32">
        <v>735</v>
      </c>
    </row>
    <row r="8829" spans="1:3" x14ac:dyDescent="0.25">
      <c r="A8829" s="12" t="str">
        <f>("21-53780")</f>
        <v>21-53780</v>
      </c>
      <c r="B8829" s="15" t="s">
        <v>13742</v>
      </c>
      <c r="C8829" s="32">
        <v>896.25</v>
      </c>
    </row>
    <row r="8830" spans="1:3" x14ac:dyDescent="0.25">
      <c r="A8830" s="12" t="str">
        <f>("21-53785")</f>
        <v>21-53785</v>
      </c>
      <c r="B8830" s="15" t="s">
        <v>13742</v>
      </c>
      <c r="C8830" s="32">
        <v>735</v>
      </c>
    </row>
    <row r="8831" spans="1:3" x14ac:dyDescent="0.25">
      <c r="A8831" s="12" t="str">
        <f>("21-53830")</f>
        <v>21-53830</v>
      </c>
      <c r="B8831" s="15" t="s">
        <v>13796</v>
      </c>
      <c r="C8831" s="32">
        <v>896.25</v>
      </c>
    </row>
    <row r="8832" spans="1:3" x14ac:dyDescent="0.25">
      <c r="A8832" s="12" t="str">
        <f>("21-53835")</f>
        <v>21-53835</v>
      </c>
      <c r="B8832" s="15" t="s">
        <v>13796</v>
      </c>
      <c r="C8832" s="32">
        <v>735</v>
      </c>
    </row>
    <row r="8833" spans="1:3" x14ac:dyDescent="0.25">
      <c r="A8833" s="12" t="str">
        <f>("21-53840")</f>
        <v>21-53840</v>
      </c>
      <c r="B8833" s="15" t="s">
        <v>13797</v>
      </c>
      <c r="C8833" s="32">
        <v>603.75</v>
      </c>
    </row>
    <row r="8834" spans="1:3" x14ac:dyDescent="0.25">
      <c r="A8834" s="12" t="str">
        <f>("21-53930")</f>
        <v>21-53930</v>
      </c>
      <c r="B8834" s="15" t="s">
        <v>13723</v>
      </c>
      <c r="C8834" s="32">
        <v>896.25</v>
      </c>
    </row>
    <row r="8835" spans="1:3" x14ac:dyDescent="0.25">
      <c r="A8835" s="12" t="str">
        <f>("21-53935")</f>
        <v>21-53935</v>
      </c>
      <c r="B8835" s="15" t="s">
        <v>13723</v>
      </c>
      <c r="C8835" s="32">
        <v>735</v>
      </c>
    </row>
    <row r="8836" spans="1:3" x14ac:dyDescent="0.25">
      <c r="A8836" s="12" t="str">
        <f>("21-53940")</f>
        <v>21-53940</v>
      </c>
      <c r="B8836" s="15" t="s">
        <v>13724</v>
      </c>
      <c r="C8836" s="32">
        <v>896.25</v>
      </c>
    </row>
    <row r="8837" spans="1:3" x14ac:dyDescent="0.25">
      <c r="A8837" s="12" t="str">
        <f>("21-53945")</f>
        <v>21-53945</v>
      </c>
      <c r="B8837" s="15" t="s">
        <v>13724</v>
      </c>
      <c r="C8837" s="32">
        <v>735</v>
      </c>
    </row>
    <row r="8838" spans="1:3" x14ac:dyDescent="0.25">
      <c r="A8838" s="12" t="str">
        <f>("21-54005")</f>
        <v>21-54005</v>
      </c>
      <c r="B8838" s="15" t="s">
        <v>13798</v>
      </c>
      <c r="C8838" s="32">
        <v>735</v>
      </c>
    </row>
    <row r="8839" spans="1:3" x14ac:dyDescent="0.25">
      <c r="A8839" s="12" t="str">
        <f>("21-54010")</f>
        <v>21-54010</v>
      </c>
      <c r="B8839" s="15" t="s">
        <v>13725</v>
      </c>
      <c r="C8839" s="32">
        <v>896.25</v>
      </c>
    </row>
    <row r="8840" spans="1:3" x14ac:dyDescent="0.25">
      <c r="A8840" s="12" t="str">
        <f>("21-54015")</f>
        <v>21-54015</v>
      </c>
      <c r="B8840" s="15" t="s">
        <v>13725</v>
      </c>
      <c r="C8840" s="32">
        <v>735</v>
      </c>
    </row>
    <row r="8841" spans="1:3" x14ac:dyDescent="0.25">
      <c r="A8841" s="12" t="str">
        <f>("21-54020")</f>
        <v>21-54020</v>
      </c>
      <c r="B8841" s="15" t="s">
        <v>13799</v>
      </c>
      <c r="C8841" s="32">
        <v>896.25</v>
      </c>
    </row>
    <row r="8842" spans="1:3" x14ac:dyDescent="0.25">
      <c r="A8842" s="12" t="str">
        <f>("21-54025")</f>
        <v>21-54025</v>
      </c>
      <c r="B8842" s="15" t="s">
        <v>13799</v>
      </c>
      <c r="C8842" s="32">
        <v>735</v>
      </c>
    </row>
    <row r="8843" spans="1:3" x14ac:dyDescent="0.25">
      <c r="A8843" s="12" t="str">
        <f>("21-54060")</f>
        <v>21-54060</v>
      </c>
      <c r="B8843" s="15" t="s">
        <v>13807</v>
      </c>
      <c r="C8843" s="32">
        <v>896.25</v>
      </c>
    </row>
    <row r="8844" spans="1:3" x14ac:dyDescent="0.25">
      <c r="A8844" s="12" t="str">
        <f>("21-54065")</f>
        <v>21-54065</v>
      </c>
      <c r="B8844" s="15" t="s">
        <v>13807</v>
      </c>
      <c r="C8844" s="32">
        <v>735</v>
      </c>
    </row>
    <row r="8845" spans="1:3" x14ac:dyDescent="0.25">
      <c r="A8845" s="12" t="str">
        <f>("21-54080")</f>
        <v>21-54080</v>
      </c>
      <c r="B8845" s="15" t="s">
        <v>13727</v>
      </c>
      <c r="C8845" s="32">
        <v>896.25</v>
      </c>
    </row>
    <row r="8846" spans="1:3" x14ac:dyDescent="0.25">
      <c r="A8846" s="12" t="str">
        <f>("21-54085")</f>
        <v>21-54085</v>
      </c>
      <c r="B8846" s="15" t="s">
        <v>13727</v>
      </c>
      <c r="C8846" s="32">
        <v>735</v>
      </c>
    </row>
    <row r="8847" spans="1:3" x14ac:dyDescent="0.25">
      <c r="A8847" s="12" t="str">
        <f>("21-54090")</f>
        <v>21-54090</v>
      </c>
      <c r="B8847" s="15" t="s">
        <v>13728</v>
      </c>
      <c r="C8847" s="32">
        <v>896.25</v>
      </c>
    </row>
    <row r="8848" spans="1:3" x14ac:dyDescent="0.25">
      <c r="A8848" s="12" t="str">
        <f>("21-54095")</f>
        <v>21-54095</v>
      </c>
      <c r="B8848" s="15" t="s">
        <v>13728</v>
      </c>
      <c r="C8848" s="32">
        <v>735</v>
      </c>
    </row>
    <row r="8849" spans="1:3" ht="31.5" x14ac:dyDescent="0.25">
      <c r="A8849" s="12" t="str">
        <f>("21-54120")</f>
        <v>21-54120</v>
      </c>
      <c r="B8849" s="15" t="s">
        <v>13729</v>
      </c>
      <c r="C8849" s="32">
        <v>896.25</v>
      </c>
    </row>
    <row r="8850" spans="1:3" ht="31.5" x14ac:dyDescent="0.25">
      <c r="A8850" s="12" t="str">
        <f>("21-54125")</f>
        <v>21-54125</v>
      </c>
      <c r="B8850" s="15" t="s">
        <v>13729</v>
      </c>
      <c r="C8850" s="32">
        <v>735</v>
      </c>
    </row>
    <row r="8851" spans="1:3" ht="31.5" x14ac:dyDescent="0.25">
      <c r="A8851" s="12" t="str">
        <f>("21-54130")</f>
        <v>21-54130</v>
      </c>
      <c r="B8851" s="15" t="s">
        <v>13730</v>
      </c>
      <c r="C8851" s="32">
        <v>896.25</v>
      </c>
    </row>
    <row r="8852" spans="1:3" ht="31.5" x14ac:dyDescent="0.25">
      <c r="A8852" s="12" t="str">
        <f>("21-54135")</f>
        <v>21-54135</v>
      </c>
      <c r="B8852" s="15" t="s">
        <v>13730</v>
      </c>
      <c r="C8852" s="32">
        <v>735</v>
      </c>
    </row>
    <row r="8853" spans="1:3" x14ac:dyDescent="0.25">
      <c r="A8853" s="12" t="str">
        <f>("21-54140")</f>
        <v>21-54140</v>
      </c>
      <c r="B8853" s="15" t="s">
        <v>13802</v>
      </c>
      <c r="C8853" s="32">
        <v>896.25</v>
      </c>
    </row>
    <row r="8854" spans="1:3" x14ac:dyDescent="0.25">
      <c r="A8854" s="12" t="str">
        <f>("21-54145")</f>
        <v>21-54145</v>
      </c>
      <c r="B8854" s="15" t="s">
        <v>13802</v>
      </c>
      <c r="C8854" s="32">
        <v>735</v>
      </c>
    </row>
    <row r="8855" spans="1:3" x14ac:dyDescent="0.25">
      <c r="A8855" s="12" t="str">
        <f>("21-54150")</f>
        <v>21-54150</v>
      </c>
      <c r="B8855" s="15" t="s">
        <v>13803</v>
      </c>
      <c r="C8855" s="32">
        <v>896.25</v>
      </c>
    </row>
    <row r="8856" spans="1:3" x14ac:dyDescent="0.25">
      <c r="A8856" s="12" t="str">
        <f>("21-54155")</f>
        <v>21-54155</v>
      </c>
      <c r="B8856" s="15" t="s">
        <v>13803</v>
      </c>
      <c r="C8856" s="32">
        <v>735</v>
      </c>
    </row>
    <row r="8857" spans="1:3" x14ac:dyDescent="0.25">
      <c r="A8857" s="12" t="str">
        <f>("21-54160")</f>
        <v>21-54160</v>
      </c>
      <c r="B8857" s="15" t="s">
        <v>13731</v>
      </c>
      <c r="C8857" s="32">
        <v>896.25</v>
      </c>
    </row>
    <row r="8858" spans="1:3" x14ac:dyDescent="0.25">
      <c r="A8858" s="12" t="str">
        <f>("21-54165")</f>
        <v>21-54165</v>
      </c>
      <c r="B8858" s="15" t="s">
        <v>13731</v>
      </c>
      <c r="C8858" s="32">
        <v>735</v>
      </c>
    </row>
    <row r="8859" spans="1:3" x14ac:dyDescent="0.25">
      <c r="A8859" s="12" t="str">
        <f>("21-54170")</f>
        <v>21-54170</v>
      </c>
      <c r="B8859" s="15" t="s">
        <v>13804</v>
      </c>
      <c r="C8859" s="32">
        <v>896.25</v>
      </c>
    </row>
    <row r="8860" spans="1:3" x14ac:dyDescent="0.25">
      <c r="A8860" s="12" t="str">
        <f>("21-54175")</f>
        <v>21-54175</v>
      </c>
      <c r="B8860" s="15" t="s">
        <v>13804</v>
      </c>
      <c r="C8860" s="32">
        <v>735</v>
      </c>
    </row>
    <row r="8861" spans="1:3" x14ac:dyDescent="0.25">
      <c r="A8861" s="12" t="str">
        <f>("21-54195")</f>
        <v>21-54195</v>
      </c>
      <c r="B8861" s="15" t="s">
        <v>13733</v>
      </c>
      <c r="C8861" s="32">
        <v>735</v>
      </c>
    </row>
    <row r="8862" spans="1:3" x14ac:dyDescent="0.25">
      <c r="A8862" s="12" t="str">
        <f>("21-534015")</f>
        <v>21-534015</v>
      </c>
      <c r="B8862" s="15" t="s">
        <v>13808</v>
      </c>
      <c r="C8862" s="32">
        <v>896.25</v>
      </c>
    </row>
    <row r="8863" spans="1:3" x14ac:dyDescent="0.25">
      <c r="A8863" s="12" t="str">
        <f>("21-534170")</f>
        <v>21-534170</v>
      </c>
      <c r="B8863" s="15" t="s">
        <v>13809</v>
      </c>
      <c r="C8863" s="32">
        <v>1376.25</v>
      </c>
    </row>
    <row r="8864" spans="1:3" x14ac:dyDescent="0.25">
      <c r="A8864" s="12" t="str">
        <f>("21-534175")</f>
        <v>21-534175</v>
      </c>
      <c r="B8864" s="15" t="s">
        <v>13809</v>
      </c>
      <c r="C8864" s="32">
        <v>896.25</v>
      </c>
    </row>
    <row r="8865" spans="1:3" x14ac:dyDescent="0.25">
      <c r="A8865" s="12" t="str">
        <f>("21-534235")</f>
        <v>21-534235</v>
      </c>
      <c r="B8865" s="15" t="s">
        <v>13810</v>
      </c>
      <c r="C8865" s="32">
        <v>1303.75</v>
      </c>
    </row>
    <row r="8866" spans="1:3" x14ac:dyDescent="0.25">
      <c r="A8866" s="12" t="str">
        <f>("21-534255")</f>
        <v>21-534255</v>
      </c>
      <c r="B8866" s="15" t="s">
        <v>13811</v>
      </c>
      <c r="C8866" s="32">
        <v>896.25</v>
      </c>
    </row>
    <row r="8867" spans="1:3" ht="31.5" x14ac:dyDescent="0.25">
      <c r="A8867" s="12" t="str">
        <f>("21-534310")</f>
        <v>21-534310</v>
      </c>
      <c r="B8867" s="15" t="s">
        <v>13812</v>
      </c>
      <c r="C8867" s="32">
        <v>1376.25</v>
      </c>
    </row>
    <row r="8868" spans="1:3" ht="31.5" x14ac:dyDescent="0.25">
      <c r="A8868" s="12" t="str">
        <f>("21-534315")</f>
        <v>21-534315</v>
      </c>
      <c r="B8868" s="15" t="s">
        <v>13812</v>
      </c>
      <c r="C8868" s="32">
        <v>896.25</v>
      </c>
    </row>
    <row r="8869" spans="1:3" ht="31.5" x14ac:dyDescent="0.25">
      <c r="A8869" s="12" t="str">
        <f>("21-534320")</f>
        <v>21-534320</v>
      </c>
      <c r="B8869" s="15" t="s">
        <v>13813</v>
      </c>
      <c r="C8869" s="32">
        <v>1376.25</v>
      </c>
    </row>
    <row r="8870" spans="1:3" ht="31.5" x14ac:dyDescent="0.25">
      <c r="A8870" s="12" t="str">
        <f>("21-534325")</f>
        <v>21-534325</v>
      </c>
      <c r="B8870" s="15" t="s">
        <v>13813</v>
      </c>
      <c r="C8870" s="32">
        <v>896.25</v>
      </c>
    </row>
    <row r="8871" spans="1:3" x14ac:dyDescent="0.25">
      <c r="A8871" s="12" t="str">
        <f>("21-534330")</f>
        <v>21-534330</v>
      </c>
      <c r="B8871" s="15" t="s">
        <v>13814</v>
      </c>
      <c r="C8871" s="32">
        <v>1602.5</v>
      </c>
    </row>
    <row r="8872" spans="1:3" x14ac:dyDescent="0.25">
      <c r="A8872" s="12" t="str">
        <f>("21-534335")</f>
        <v>21-534335</v>
      </c>
      <c r="B8872" s="15" t="s">
        <v>13814</v>
      </c>
      <c r="C8872" s="32">
        <v>1303.75</v>
      </c>
    </row>
    <row r="8873" spans="1:3" x14ac:dyDescent="0.25">
      <c r="A8873" s="12" t="str">
        <f>("21-534340")</f>
        <v>21-534340</v>
      </c>
      <c r="B8873" s="15" t="s">
        <v>13815</v>
      </c>
      <c r="C8873" s="32">
        <v>1602.5</v>
      </c>
    </row>
    <row r="8874" spans="1:3" x14ac:dyDescent="0.25">
      <c r="A8874" s="12" t="str">
        <f>("21-534345")</f>
        <v>21-534345</v>
      </c>
      <c r="B8874" s="15" t="s">
        <v>13815</v>
      </c>
      <c r="C8874" s="32">
        <v>1303.75</v>
      </c>
    </row>
    <row r="8875" spans="1:3" x14ac:dyDescent="0.25">
      <c r="A8875" s="12" t="str">
        <f>("21-534560")</f>
        <v>21-534560</v>
      </c>
      <c r="B8875" s="15" t="s">
        <v>13816</v>
      </c>
      <c r="C8875" s="32">
        <v>1376.25</v>
      </c>
    </row>
    <row r="8876" spans="1:3" x14ac:dyDescent="0.25">
      <c r="A8876" s="12" t="str">
        <f>("21-534565")</f>
        <v>21-534565</v>
      </c>
      <c r="B8876" s="15" t="s">
        <v>13816</v>
      </c>
      <c r="C8876" s="32">
        <v>896.25</v>
      </c>
    </row>
    <row r="8877" spans="1:3" ht="31.5" x14ac:dyDescent="0.25">
      <c r="A8877" s="12" t="str">
        <f>("21-534570")</f>
        <v>21-534570</v>
      </c>
      <c r="B8877" s="15" t="s">
        <v>13817</v>
      </c>
      <c r="C8877" s="32">
        <v>1376.25</v>
      </c>
    </row>
    <row r="8878" spans="1:3" ht="31.5" x14ac:dyDescent="0.25">
      <c r="A8878" s="12" t="str">
        <f>("21-534575")</f>
        <v>21-534575</v>
      </c>
      <c r="B8878" s="15" t="s">
        <v>13817</v>
      </c>
      <c r="C8878" s="32">
        <v>896.25</v>
      </c>
    </row>
    <row r="8879" spans="1:3" x14ac:dyDescent="0.25">
      <c r="A8879" s="12" t="str">
        <f>("21-534580")</f>
        <v>21-534580</v>
      </c>
      <c r="B8879" s="15" t="s">
        <v>13818</v>
      </c>
      <c r="C8879" s="32">
        <v>1602.5</v>
      </c>
    </row>
    <row r="8880" spans="1:3" x14ac:dyDescent="0.25">
      <c r="A8880" s="12" t="str">
        <f>("21-534585")</f>
        <v>21-534585</v>
      </c>
      <c r="B8880" s="15" t="s">
        <v>13818</v>
      </c>
      <c r="C8880" s="32">
        <v>1303.75</v>
      </c>
    </row>
    <row r="8881" spans="1:3" ht="31.5" customHeight="1" x14ac:dyDescent="0.25">
      <c r="A8881" s="12" t="str">
        <f>("21-534590")</f>
        <v>21-534590</v>
      </c>
      <c r="B8881" s="15" t="s">
        <v>13819</v>
      </c>
      <c r="C8881" s="32">
        <v>1376.25</v>
      </c>
    </row>
    <row r="8882" spans="1:3" ht="31.5" customHeight="1" x14ac:dyDescent="0.25">
      <c r="A8882" s="12" t="str">
        <f>("21-534595")</f>
        <v>21-534595</v>
      </c>
      <c r="B8882" s="15" t="s">
        <v>13819</v>
      </c>
      <c r="C8882" s="32">
        <v>896.25</v>
      </c>
    </row>
    <row r="8883" spans="1:3" ht="31.5" x14ac:dyDescent="0.25">
      <c r="A8883" s="12" t="str">
        <f>("21-534600")</f>
        <v>21-534600</v>
      </c>
      <c r="B8883" s="15" t="s">
        <v>13820</v>
      </c>
      <c r="C8883" s="32">
        <v>1602.5</v>
      </c>
    </row>
    <row r="8884" spans="1:3" ht="31.5" x14ac:dyDescent="0.25">
      <c r="A8884" s="12" t="str">
        <f>("21-534605")</f>
        <v>21-534605</v>
      </c>
      <c r="B8884" s="15" t="s">
        <v>13820</v>
      </c>
      <c r="C8884" s="32">
        <v>1303.75</v>
      </c>
    </row>
    <row r="8885" spans="1:3" x14ac:dyDescent="0.25">
      <c r="A8885" s="12" t="str">
        <f>("21-534610")</f>
        <v>21-534610</v>
      </c>
      <c r="B8885" s="15" t="s">
        <v>13821</v>
      </c>
      <c r="C8885" s="32">
        <v>1376.25</v>
      </c>
    </row>
    <row r="8886" spans="1:3" x14ac:dyDescent="0.25">
      <c r="A8886" s="12" t="str">
        <f>("21-534615")</f>
        <v>21-534615</v>
      </c>
      <c r="B8886" s="15" t="s">
        <v>13821</v>
      </c>
      <c r="C8886" s="32">
        <v>896.25</v>
      </c>
    </row>
    <row r="8887" spans="1:3" x14ac:dyDescent="0.25">
      <c r="A8887" s="12" t="str">
        <f>("21-534630")</f>
        <v>21-534630</v>
      </c>
      <c r="B8887" s="15" t="s">
        <v>13822</v>
      </c>
      <c r="C8887" s="32">
        <v>1376.25</v>
      </c>
    </row>
    <row r="8888" spans="1:3" x14ac:dyDescent="0.25">
      <c r="A8888" s="12" t="str">
        <f>("21-534635")</f>
        <v>21-534635</v>
      </c>
      <c r="B8888" s="15" t="s">
        <v>13822</v>
      </c>
      <c r="C8888" s="32">
        <v>896.25</v>
      </c>
    </row>
    <row r="8889" spans="1:3" x14ac:dyDescent="0.25">
      <c r="A8889" s="12" t="str">
        <f>("21-534645")</f>
        <v>21-534645</v>
      </c>
      <c r="B8889" s="15" t="s">
        <v>13823</v>
      </c>
      <c r="C8889" s="32">
        <v>896.25</v>
      </c>
    </row>
    <row r="8890" spans="1:3" x14ac:dyDescent="0.25">
      <c r="A8890" s="12" t="str">
        <f>("21-534655")</f>
        <v>21-534655</v>
      </c>
      <c r="B8890" s="15" t="s">
        <v>13824</v>
      </c>
      <c r="C8890" s="32">
        <v>1303.75</v>
      </c>
    </row>
    <row r="8891" spans="1:3" x14ac:dyDescent="0.25">
      <c r="A8891" s="12" t="str">
        <f>("21-534665")</f>
        <v>21-534665</v>
      </c>
      <c r="B8891" s="15" t="s">
        <v>13825</v>
      </c>
      <c r="C8891" s="32">
        <v>896.25</v>
      </c>
    </row>
    <row r="8892" spans="1:3" x14ac:dyDescent="0.25">
      <c r="A8892" s="12" t="str">
        <f>("21-534675")</f>
        <v>21-534675</v>
      </c>
      <c r="B8892" s="15" t="s">
        <v>13826</v>
      </c>
      <c r="C8892" s="32">
        <v>1303.75</v>
      </c>
    </row>
    <row r="8893" spans="1:3" x14ac:dyDescent="0.25">
      <c r="A8893" s="12" t="str">
        <f>("21-534680")</f>
        <v>21-534680</v>
      </c>
      <c r="B8893" s="15" t="s">
        <v>13827</v>
      </c>
      <c r="C8893" s="32">
        <v>1376.25</v>
      </c>
    </row>
    <row r="8894" spans="1:3" x14ac:dyDescent="0.25">
      <c r="A8894" s="12" t="str">
        <f>("21-534685")</f>
        <v>21-534685</v>
      </c>
      <c r="B8894" s="15" t="s">
        <v>13827</v>
      </c>
      <c r="C8894" s="32">
        <v>896.25</v>
      </c>
    </row>
    <row r="8895" spans="1:3" x14ac:dyDescent="0.25">
      <c r="A8895" s="12" t="str">
        <f>("21-534690")</f>
        <v>21-534690</v>
      </c>
      <c r="B8895" s="15" t="s">
        <v>13828</v>
      </c>
      <c r="C8895" s="32">
        <v>1376.25</v>
      </c>
    </row>
    <row r="8896" spans="1:3" x14ac:dyDescent="0.25">
      <c r="A8896" s="12" t="str">
        <f>("21-534695")</f>
        <v>21-534695</v>
      </c>
      <c r="B8896" s="15" t="s">
        <v>13828</v>
      </c>
      <c r="C8896" s="32">
        <v>896.25</v>
      </c>
    </row>
    <row r="8897" spans="1:3" x14ac:dyDescent="0.25">
      <c r="A8897" s="12" t="str">
        <f>("21-534700")</f>
        <v>21-534700</v>
      </c>
      <c r="B8897" s="15" t="s">
        <v>13829</v>
      </c>
      <c r="C8897" s="32">
        <v>1376.25</v>
      </c>
    </row>
    <row r="8898" spans="1:3" x14ac:dyDescent="0.25">
      <c r="A8898" s="12" t="str">
        <f>("21-534705")</f>
        <v>21-534705</v>
      </c>
      <c r="B8898" s="15" t="s">
        <v>13829</v>
      </c>
      <c r="C8898" s="32">
        <v>896.25</v>
      </c>
    </row>
    <row r="8899" spans="1:3" x14ac:dyDescent="0.25">
      <c r="A8899" s="12" t="str">
        <f>("21-534710")</f>
        <v>21-534710</v>
      </c>
      <c r="B8899" s="15" t="s">
        <v>13830</v>
      </c>
      <c r="C8899" s="32">
        <v>1376.25</v>
      </c>
    </row>
    <row r="8900" spans="1:3" x14ac:dyDescent="0.25">
      <c r="A8900" s="12" t="str">
        <f>("21-534715")</f>
        <v>21-534715</v>
      </c>
      <c r="B8900" s="15" t="s">
        <v>13830</v>
      </c>
      <c r="C8900" s="32">
        <v>896.25</v>
      </c>
    </row>
    <row r="8901" spans="1:3" x14ac:dyDescent="0.25">
      <c r="A8901" s="12" t="str">
        <f>("21-534720")</f>
        <v>21-534720</v>
      </c>
      <c r="B8901" s="15" t="s">
        <v>13831</v>
      </c>
      <c r="C8901" s="32">
        <v>1376.25</v>
      </c>
    </row>
    <row r="8902" spans="1:3" x14ac:dyDescent="0.25">
      <c r="A8902" s="12" t="str">
        <f>("21-534725")</f>
        <v>21-534725</v>
      </c>
      <c r="B8902" s="15" t="s">
        <v>13831</v>
      </c>
      <c r="C8902" s="32">
        <v>896.25</v>
      </c>
    </row>
    <row r="8903" spans="1:3" x14ac:dyDescent="0.25">
      <c r="A8903" s="12" t="str">
        <f>("21-534730")</f>
        <v>21-534730</v>
      </c>
      <c r="B8903" s="15" t="s">
        <v>13832</v>
      </c>
      <c r="C8903" s="32">
        <v>1376.25</v>
      </c>
    </row>
    <row r="8904" spans="1:3" x14ac:dyDescent="0.25">
      <c r="A8904" s="12" t="str">
        <f>("21-534735")</f>
        <v>21-534735</v>
      </c>
      <c r="B8904" s="15" t="s">
        <v>13832</v>
      </c>
      <c r="C8904" s="32">
        <v>896.25</v>
      </c>
    </row>
    <row r="8905" spans="1:3" x14ac:dyDescent="0.25">
      <c r="A8905" s="12" t="str">
        <f>("21-534740")</f>
        <v>21-534740</v>
      </c>
      <c r="B8905" s="15" t="s">
        <v>13833</v>
      </c>
      <c r="C8905" s="32">
        <v>1602.5</v>
      </c>
    </row>
    <row r="8906" spans="1:3" x14ac:dyDescent="0.25">
      <c r="A8906" s="12" t="str">
        <f>("21-534745")</f>
        <v>21-534745</v>
      </c>
      <c r="B8906" s="15" t="s">
        <v>13833</v>
      </c>
      <c r="C8906" s="32">
        <v>896.25</v>
      </c>
    </row>
    <row r="8907" spans="1:3" x14ac:dyDescent="0.25">
      <c r="A8907" s="12" t="str">
        <f>("21-534750")</f>
        <v>21-534750</v>
      </c>
      <c r="B8907" s="15" t="s">
        <v>13834</v>
      </c>
      <c r="C8907" s="32">
        <v>1602.5</v>
      </c>
    </row>
    <row r="8908" spans="1:3" x14ac:dyDescent="0.25">
      <c r="A8908" s="12" t="str">
        <f>("21-534755")</f>
        <v>21-534755</v>
      </c>
      <c r="B8908" s="15" t="s">
        <v>13834</v>
      </c>
      <c r="C8908" s="32">
        <v>1303.75</v>
      </c>
    </row>
    <row r="8909" spans="1:3" x14ac:dyDescent="0.25">
      <c r="A8909" s="12" t="str">
        <f>("21-534760")</f>
        <v>21-534760</v>
      </c>
      <c r="B8909" s="15" t="s">
        <v>13835</v>
      </c>
      <c r="C8909" s="32">
        <v>1376.25</v>
      </c>
    </row>
    <row r="8910" spans="1:3" x14ac:dyDescent="0.25">
      <c r="A8910" s="12" t="str">
        <f>("21-534765")</f>
        <v>21-534765</v>
      </c>
      <c r="B8910" s="15" t="s">
        <v>13835</v>
      </c>
      <c r="C8910" s="32">
        <v>896.25</v>
      </c>
    </row>
    <row r="8911" spans="1:3" x14ac:dyDescent="0.25">
      <c r="A8911" s="12" t="str">
        <f>("21-534770")</f>
        <v>21-534770</v>
      </c>
      <c r="B8911" s="15" t="s">
        <v>13836</v>
      </c>
      <c r="C8911" s="32">
        <v>1602.5</v>
      </c>
    </row>
    <row r="8912" spans="1:3" x14ac:dyDescent="0.25">
      <c r="A8912" s="12" t="str">
        <f>("21-534775")</f>
        <v>21-534775</v>
      </c>
      <c r="B8912" s="15" t="s">
        <v>13836</v>
      </c>
      <c r="C8912" s="32">
        <v>1303.75</v>
      </c>
    </row>
    <row r="8913" spans="1:3" ht="31.5" x14ac:dyDescent="0.25">
      <c r="A8913" s="12" t="str">
        <f>("21-63560")</f>
        <v>21-63560</v>
      </c>
      <c r="B8913" s="15" t="s">
        <v>13719</v>
      </c>
      <c r="C8913" s="32">
        <v>1025</v>
      </c>
    </row>
    <row r="8914" spans="1:3" ht="31.5" x14ac:dyDescent="0.25">
      <c r="A8914" s="12" t="str">
        <f>("21-63565")</f>
        <v>21-63565</v>
      </c>
      <c r="B8914" s="15" t="s">
        <v>13719</v>
      </c>
      <c r="C8914" s="32">
        <v>880</v>
      </c>
    </row>
    <row r="8915" spans="1:3" ht="31.5" x14ac:dyDescent="0.25">
      <c r="A8915" s="12" t="str">
        <f>("21-64130")</f>
        <v>21-64130</v>
      </c>
      <c r="B8915" s="15" t="s">
        <v>13730</v>
      </c>
      <c r="C8915" s="32">
        <v>1025</v>
      </c>
    </row>
    <row r="8916" spans="1:3" ht="31.5" x14ac:dyDescent="0.25">
      <c r="A8916" s="12" t="str">
        <f>("21-64135")</f>
        <v>21-64135</v>
      </c>
      <c r="B8916" s="15" t="s">
        <v>13730</v>
      </c>
      <c r="C8916" s="32">
        <v>880</v>
      </c>
    </row>
    <row r="8917" spans="1:3" x14ac:dyDescent="0.25">
      <c r="A8917" s="12" t="str">
        <f>("22-5000")</f>
        <v>22-5000</v>
      </c>
      <c r="B8917" s="15" t="s">
        <v>13837</v>
      </c>
      <c r="C8917" s="32">
        <v>501.25</v>
      </c>
    </row>
    <row r="8918" spans="1:3" x14ac:dyDescent="0.25">
      <c r="A8918" s="12" t="str">
        <f>("22-5005")</f>
        <v>22-5005</v>
      </c>
      <c r="B8918" s="15" t="s">
        <v>13838</v>
      </c>
      <c r="C8918" s="32">
        <v>336.25</v>
      </c>
    </row>
    <row r="8919" spans="1:3" x14ac:dyDescent="0.25">
      <c r="A8919" s="12" t="str">
        <f>("22-5020")</f>
        <v>22-5020</v>
      </c>
      <c r="B8919" s="15" t="s">
        <v>13839</v>
      </c>
      <c r="C8919" s="32">
        <v>665</v>
      </c>
    </row>
    <row r="8920" spans="1:3" x14ac:dyDescent="0.25">
      <c r="A8920" s="12" t="str">
        <f>("22-5025")</f>
        <v>22-5025</v>
      </c>
      <c r="B8920" s="15" t="s">
        <v>13840</v>
      </c>
      <c r="C8920" s="32">
        <v>376.25</v>
      </c>
    </row>
    <row r="8921" spans="1:3" x14ac:dyDescent="0.25">
      <c r="A8921" s="12" t="str">
        <f>("22-5030")</f>
        <v>22-5030</v>
      </c>
      <c r="B8921" s="15" t="s">
        <v>13841</v>
      </c>
      <c r="C8921" s="32">
        <v>742.5</v>
      </c>
    </row>
    <row r="8922" spans="1:3" x14ac:dyDescent="0.25">
      <c r="A8922" s="12" t="str">
        <f>("22-5035")</f>
        <v>22-5035</v>
      </c>
      <c r="B8922" s="15" t="s">
        <v>13842</v>
      </c>
      <c r="C8922" s="32">
        <v>411.25</v>
      </c>
    </row>
    <row r="8923" spans="1:3" x14ac:dyDescent="0.25">
      <c r="A8923" s="12" t="str">
        <f>("22-5040")</f>
        <v>22-5040</v>
      </c>
      <c r="B8923" s="15" t="s">
        <v>13843</v>
      </c>
      <c r="C8923" s="32">
        <v>788.75</v>
      </c>
    </row>
    <row r="8924" spans="1:3" x14ac:dyDescent="0.25">
      <c r="A8924" s="12" t="str">
        <f>("22-5045")</f>
        <v>22-5045</v>
      </c>
      <c r="B8924" s="15" t="s">
        <v>13844</v>
      </c>
      <c r="C8924" s="32">
        <v>422.5</v>
      </c>
    </row>
    <row r="8925" spans="1:3" x14ac:dyDescent="0.25">
      <c r="A8925" s="12" t="str">
        <f>("22-5050")</f>
        <v>22-5050</v>
      </c>
      <c r="B8925" s="15" t="s">
        <v>13845</v>
      </c>
      <c r="C8925" s="32">
        <v>641.25</v>
      </c>
    </row>
    <row r="8926" spans="1:3" x14ac:dyDescent="0.25">
      <c r="A8926" s="12" t="str">
        <f>("22-5055")</f>
        <v>22-5055</v>
      </c>
      <c r="B8926" s="15" t="s">
        <v>13846</v>
      </c>
      <c r="C8926" s="32">
        <v>366.25</v>
      </c>
    </row>
    <row r="8927" spans="1:3" x14ac:dyDescent="0.25">
      <c r="A8927" s="12" t="str">
        <f>("22-5060")</f>
        <v>22-5060</v>
      </c>
      <c r="B8927" s="15" t="s">
        <v>13847</v>
      </c>
      <c r="C8927" s="32">
        <v>573.75</v>
      </c>
    </row>
    <row r="8928" spans="1:3" x14ac:dyDescent="0.25">
      <c r="A8928" s="12" t="str">
        <f>("22-5065")</f>
        <v>22-5065</v>
      </c>
      <c r="B8928" s="15" t="s">
        <v>13848</v>
      </c>
      <c r="C8928" s="32">
        <v>346.25</v>
      </c>
    </row>
    <row r="8929" spans="1:3" x14ac:dyDescent="0.25">
      <c r="A8929" s="12" t="str">
        <f>("22-6000")</f>
        <v>22-6000</v>
      </c>
      <c r="B8929" s="15" t="s">
        <v>13849</v>
      </c>
      <c r="C8929" s="32">
        <v>693.75</v>
      </c>
    </row>
    <row r="8930" spans="1:3" x14ac:dyDescent="0.25">
      <c r="A8930" s="12" t="str">
        <f>("22-6005")</f>
        <v>22-6005</v>
      </c>
      <c r="B8930" s="15" t="s">
        <v>13850</v>
      </c>
      <c r="C8930" s="32">
        <v>381.25</v>
      </c>
    </row>
    <row r="8931" spans="1:3" x14ac:dyDescent="0.25">
      <c r="A8931" s="12" t="str">
        <f>("22-6020")</f>
        <v>22-6020</v>
      </c>
      <c r="B8931" s="15" t="s">
        <v>13851</v>
      </c>
      <c r="C8931" s="32">
        <v>790</v>
      </c>
    </row>
    <row r="8932" spans="1:3" x14ac:dyDescent="0.25">
      <c r="A8932" s="12" t="str">
        <f>("22-6025")</f>
        <v>22-6025</v>
      </c>
      <c r="B8932" s="15" t="s">
        <v>13852</v>
      </c>
      <c r="C8932" s="32">
        <v>546.25</v>
      </c>
    </row>
    <row r="8933" spans="1:3" x14ac:dyDescent="0.25">
      <c r="A8933" s="12" t="str">
        <f>("22-6030")</f>
        <v>22-6030</v>
      </c>
      <c r="B8933" s="15" t="s">
        <v>13853</v>
      </c>
      <c r="C8933" s="32">
        <v>847.5</v>
      </c>
    </row>
    <row r="8934" spans="1:3" x14ac:dyDescent="0.25">
      <c r="A8934" s="12" t="str">
        <f>("22-6035")</f>
        <v>22-6035</v>
      </c>
      <c r="B8934" s="15" t="s">
        <v>13854</v>
      </c>
      <c r="C8934" s="32">
        <v>581.25</v>
      </c>
    </row>
    <row r="8935" spans="1:3" x14ac:dyDescent="0.25">
      <c r="A8935" s="12" t="str">
        <f>("22-6040")</f>
        <v>22-6040</v>
      </c>
      <c r="B8935" s="15" t="s">
        <v>13855</v>
      </c>
      <c r="C8935" s="32">
        <v>890</v>
      </c>
    </row>
    <row r="8936" spans="1:3" x14ac:dyDescent="0.25">
      <c r="A8936" s="12" t="str">
        <f>("22-6045")</f>
        <v>22-6045</v>
      </c>
      <c r="B8936" s="15" t="s">
        <v>13856</v>
      </c>
      <c r="C8936" s="32">
        <v>600</v>
      </c>
    </row>
    <row r="8937" spans="1:3" x14ac:dyDescent="0.25">
      <c r="A8937" s="12" t="str">
        <f>("22-1005")</f>
        <v>22-1005</v>
      </c>
      <c r="B8937" s="15" t="s">
        <v>13857</v>
      </c>
      <c r="C8937" s="32">
        <v>257.5</v>
      </c>
    </row>
    <row r="8938" spans="1:3" x14ac:dyDescent="0.25">
      <c r="A8938" s="12" t="str">
        <f>("22-1015")</f>
        <v>22-1015</v>
      </c>
      <c r="B8938" s="15" t="s">
        <v>13858</v>
      </c>
      <c r="C8938" s="32">
        <v>257.5</v>
      </c>
    </row>
    <row r="8939" spans="1:3" x14ac:dyDescent="0.25">
      <c r="A8939" s="12" t="str">
        <f>("22-1025")</f>
        <v>22-1025</v>
      </c>
      <c r="B8939" s="15" t="s">
        <v>13859</v>
      </c>
      <c r="C8939" s="32">
        <v>257.5</v>
      </c>
    </row>
    <row r="8940" spans="1:3" x14ac:dyDescent="0.25">
      <c r="A8940" s="12" t="str">
        <f>("22-1035")</f>
        <v>22-1035</v>
      </c>
      <c r="B8940" s="15" t="s">
        <v>13860</v>
      </c>
      <c r="C8940" s="32">
        <v>257.5</v>
      </c>
    </row>
    <row r="8941" spans="1:3" x14ac:dyDescent="0.25">
      <c r="A8941" s="12" t="str">
        <f>("22-1045")</f>
        <v>22-1045</v>
      </c>
      <c r="B8941" s="15" t="s">
        <v>13861</v>
      </c>
      <c r="C8941" s="32">
        <v>257.5</v>
      </c>
    </row>
    <row r="8942" spans="1:3" x14ac:dyDescent="0.25">
      <c r="A8942" s="12" t="str">
        <f>("22-1055")</f>
        <v>22-1055</v>
      </c>
      <c r="B8942" s="15" t="s">
        <v>13862</v>
      </c>
      <c r="C8942" s="32">
        <v>257.5</v>
      </c>
    </row>
    <row r="8943" spans="1:3" x14ac:dyDescent="0.25">
      <c r="A8943" s="12" t="str">
        <f>("22-1065")</f>
        <v>22-1065</v>
      </c>
      <c r="B8943" s="15" t="s">
        <v>13863</v>
      </c>
      <c r="C8943" s="32">
        <v>257.5</v>
      </c>
    </row>
    <row r="8944" spans="1:3" x14ac:dyDescent="0.25">
      <c r="A8944" s="12" t="str">
        <f>("22-1075")</f>
        <v>22-1075</v>
      </c>
      <c r="B8944" s="15" t="s">
        <v>13864</v>
      </c>
      <c r="C8944" s="32">
        <v>257.5</v>
      </c>
    </row>
    <row r="8945" spans="1:3" x14ac:dyDescent="0.25">
      <c r="A8945" s="12" t="str">
        <f>("22-1085")</f>
        <v>22-1085</v>
      </c>
      <c r="B8945" s="15" t="s">
        <v>13865</v>
      </c>
      <c r="C8945" s="32">
        <v>257.5</v>
      </c>
    </row>
    <row r="8946" spans="1:3" x14ac:dyDescent="0.25">
      <c r="A8946" s="12" t="str">
        <f>("22-1105")</f>
        <v>22-1105</v>
      </c>
      <c r="B8946" s="15" t="s">
        <v>13866</v>
      </c>
      <c r="C8946" s="32">
        <v>257.5</v>
      </c>
    </row>
    <row r="8947" spans="1:3" x14ac:dyDescent="0.25">
      <c r="A8947" s="12" t="str">
        <f>("22-1125")</f>
        <v>22-1125</v>
      </c>
      <c r="B8947" s="15" t="s">
        <v>13867</v>
      </c>
      <c r="C8947" s="32">
        <v>257.5</v>
      </c>
    </row>
    <row r="8948" spans="1:3" x14ac:dyDescent="0.25">
      <c r="A8948" s="12" t="str">
        <f>("22-1135")</f>
        <v>22-1135</v>
      </c>
      <c r="B8948" s="15" t="s">
        <v>13868</v>
      </c>
      <c r="C8948" s="32">
        <v>257.5</v>
      </c>
    </row>
    <row r="8949" spans="1:3" x14ac:dyDescent="0.25">
      <c r="A8949" s="12" t="str">
        <f>("22-1165")</f>
        <v>22-1165</v>
      </c>
      <c r="B8949" s="15" t="s">
        <v>13869</v>
      </c>
      <c r="C8949" s="32">
        <v>257.5</v>
      </c>
    </row>
    <row r="8950" spans="1:3" x14ac:dyDescent="0.25">
      <c r="A8950" s="12" t="str">
        <f>("22-1345")</f>
        <v>22-1345</v>
      </c>
      <c r="B8950" s="15" t="s">
        <v>13870</v>
      </c>
      <c r="C8950" s="32">
        <v>257.5</v>
      </c>
    </row>
    <row r="8951" spans="1:3" x14ac:dyDescent="0.25">
      <c r="A8951" s="12" t="str">
        <f>("22-1395")</f>
        <v>22-1395</v>
      </c>
      <c r="B8951" s="15" t="s">
        <v>13871</v>
      </c>
      <c r="C8951" s="32">
        <v>257.5</v>
      </c>
    </row>
    <row r="8952" spans="1:3" x14ac:dyDescent="0.25">
      <c r="A8952" s="12" t="str">
        <f>("22-1415")</f>
        <v>22-1415</v>
      </c>
      <c r="B8952" s="15" t="s">
        <v>13872</v>
      </c>
      <c r="C8952" s="32">
        <v>257.5</v>
      </c>
    </row>
    <row r="8953" spans="1:3" x14ac:dyDescent="0.25">
      <c r="A8953" s="12" t="str">
        <f>("22-1445")</f>
        <v>22-1445</v>
      </c>
      <c r="B8953" s="15" t="s">
        <v>13873</v>
      </c>
      <c r="C8953" s="32">
        <v>257.5</v>
      </c>
    </row>
    <row r="8954" spans="1:3" x14ac:dyDescent="0.25">
      <c r="A8954" s="12" t="str">
        <f>("22-1455")</f>
        <v>22-1455</v>
      </c>
      <c r="B8954" s="15" t="s">
        <v>13874</v>
      </c>
      <c r="C8954" s="32">
        <v>257.5</v>
      </c>
    </row>
    <row r="8955" spans="1:3" x14ac:dyDescent="0.25">
      <c r="A8955" s="12" t="str">
        <f>("22-1475")</f>
        <v>22-1475</v>
      </c>
      <c r="B8955" s="15" t="s">
        <v>13875</v>
      </c>
      <c r="C8955" s="32">
        <v>257.5</v>
      </c>
    </row>
    <row r="8956" spans="1:3" x14ac:dyDescent="0.25">
      <c r="A8956" s="12" t="str">
        <f>("22-1525")</f>
        <v>22-1525</v>
      </c>
      <c r="B8956" s="15" t="s">
        <v>13876</v>
      </c>
      <c r="C8956" s="32">
        <v>257.5</v>
      </c>
    </row>
    <row r="8957" spans="1:3" ht="31.5" x14ac:dyDescent="0.25">
      <c r="A8957" s="12" t="str">
        <f>("22-1535")</f>
        <v>22-1535</v>
      </c>
      <c r="B8957" s="15" t="s">
        <v>13877</v>
      </c>
      <c r="C8957" s="32">
        <v>257.5</v>
      </c>
    </row>
    <row r="8958" spans="1:3" x14ac:dyDescent="0.25">
      <c r="A8958" s="12" t="str">
        <f>("22-1575")</f>
        <v>22-1575</v>
      </c>
      <c r="B8958" s="15" t="s">
        <v>13878</v>
      </c>
      <c r="C8958" s="32">
        <v>257.5</v>
      </c>
    </row>
    <row r="8959" spans="1:3" x14ac:dyDescent="0.25">
      <c r="A8959" s="12" t="str">
        <f>("22-1615")</f>
        <v>22-1615</v>
      </c>
      <c r="B8959" s="15" t="s">
        <v>13879</v>
      </c>
      <c r="C8959" s="32">
        <v>257.5</v>
      </c>
    </row>
    <row r="8960" spans="1:3" x14ac:dyDescent="0.25">
      <c r="A8960" s="12" t="str">
        <f>("22-1635")</f>
        <v>22-1635</v>
      </c>
      <c r="B8960" s="15" t="s">
        <v>13880</v>
      </c>
      <c r="C8960" s="32">
        <v>257.5</v>
      </c>
    </row>
    <row r="8961" spans="1:3" x14ac:dyDescent="0.25">
      <c r="A8961" s="12" t="str">
        <f>("22-1645")</f>
        <v>22-1645</v>
      </c>
      <c r="B8961" s="15" t="s">
        <v>13881</v>
      </c>
      <c r="C8961" s="32">
        <v>257.5</v>
      </c>
    </row>
    <row r="8962" spans="1:3" x14ac:dyDescent="0.25">
      <c r="A8962" s="12" t="str">
        <f>("22-1665")</f>
        <v>22-1665</v>
      </c>
      <c r="B8962" s="15" t="s">
        <v>13882</v>
      </c>
      <c r="C8962" s="32">
        <v>257.5</v>
      </c>
    </row>
    <row r="8963" spans="1:3" x14ac:dyDescent="0.25">
      <c r="A8963" s="12" t="str">
        <f>("22-1675")</f>
        <v>22-1675</v>
      </c>
      <c r="B8963" s="15" t="s">
        <v>13883</v>
      </c>
      <c r="C8963" s="32">
        <v>257.5</v>
      </c>
    </row>
    <row r="8964" spans="1:3" x14ac:dyDescent="0.25">
      <c r="A8964" s="12" t="str">
        <f>("22-1725")</f>
        <v>22-1725</v>
      </c>
      <c r="B8964" s="15" t="s">
        <v>13884</v>
      </c>
      <c r="C8964" s="32">
        <v>257.5</v>
      </c>
    </row>
    <row r="8965" spans="1:3" x14ac:dyDescent="0.25">
      <c r="A8965" s="12" t="str">
        <f>("22-1775")</f>
        <v>22-1775</v>
      </c>
      <c r="B8965" s="15" t="s">
        <v>13885</v>
      </c>
      <c r="C8965" s="32">
        <v>257.5</v>
      </c>
    </row>
    <row r="8966" spans="1:3" x14ac:dyDescent="0.25">
      <c r="A8966" s="12" t="str">
        <f>("22-1795")</f>
        <v>22-1795</v>
      </c>
      <c r="B8966" s="15" t="s">
        <v>13886</v>
      </c>
      <c r="C8966" s="32">
        <v>257.5</v>
      </c>
    </row>
    <row r="8967" spans="1:3" x14ac:dyDescent="0.25">
      <c r="A8967" s="12" t="str">
        <f>("22-1825")</f>
        <v>22-1825</v>
      </c>
      <c r="B8967" s="15" t="s">
        <v>13887</v>
      </c>
      <c r="C8967" s="32">
        <v>257.5</v>
      </c>
    </row>
    <row r="8968" spans="1:3" x14ac:dyDescent="0.25">
      <c r="A8968" s="12" t="str">
        <f>("22-1885")</f>
        <v>22-1885</v>
      </c>
      <c r="B8968" s="15" t="s">
        <v>13888</v>
      </c>
      <c r="C8968" s="32">
        <v>257.5</v>
      </c>
    </row>
    <row r="8969" spans="1:3" x14ac:dyDescent="0.25">
      <c r="A8969" s="12" t="str">
        <f>("22-1895")</f>
        <v>22-1895</v>
      </c>
      <c r="B8969" s="15" t="s">
        <v>13771</v>
      </c>
      <c r="C8969" s="32">
        <v>257.5</v>
      </c>
    </row>
    <row r="8970" spans="1:3" x14ac:dyDescent="0.25">
      <c r="A8970" s="12" t="str">
        <f>("22-1905")</f>
        <v>22-1905</v>
      </c>
      <c r="B8970" s="15" t="s">
        <v>13889</v>
      </c>
      <c r="C8970" s="32">
        <v>257.5</v>
      </c>
    </row>
    <row r="8971" spans="1:3" x14ac:dyDescent="0.25">
      <c r="A8971" s="12" t="str">
        <f>("22-1945")</f>
        <v>22-1945</v>
      </c>
      <c r="B8971" s="15" t="s">
        <v>13890</v>
      </c>
      <c r="C8971" s="32">
        <v>257.5</v>
      </c>
    </row>
    <row r="8972" spans="1:3" x14ac:dyDescent="0.25">
      <c r="A8972" s="12" t="str">
        <f>("22-1975")</f>
        <v>22-1975</v>
      </c>
      <c r="B8972" s="15" t="s">
        <v>13891</v>
      </c>
      <c r="C8972" s="32">
        <v>257.5</v>
      </c>
    </row>
    <row r="8973" spans="1:3" x14ac:dyDescent="0.25">
      <c r="A8973" s="12" t="str">
        <f>("22-1985")</f>
        <v>22-1985</v>
      </c>
      <c r="B8973" s="15" t="s">
        <v>13892</v>
      </c>
      <c r="C8973" s="32">
        <v>257.5</v>
      </c>
    </row>
    <row r="8974" spans="1:3" x14ac:dyDescent="0.25">
      <c r="A8974" s="12" t="str">
        <f>("22-2005")</f>
        <v>22-2005</v>
      </c>
      <c r="B8974" s="15" t="s">
        <v>13806</v>
      </c>
      <c r="C8974" s="32">
        <v>251.25</v>
      </c>
    </row>
    <row r="8975" spans="1:3" ht="31.5" x14ac:dyDescent="0.25">
      <c r="A8975" s="12" t="str">
        <f>("22-2015")</f>
        <v>22-2015</v>
      </c>
      <c r="B8975" s="15" t="s">
        <v>13893</v>
      </c>
      <c r="C8975" s="32">
        <v>251.25</v>
      </c>
    </row>
    <row r="8976" spans="1:3" ht="31.5" x14ac:dyDescent="0.25">
      <c r="A8976" s="12" t="str">
        <f>("22-2055")</f>
        <v>22-2055</v>
      </c>
      <c r="B8976" s="15" t="s">
        <v>13894</v>
      </c>
      <c r="C8976" s="32">
        <v>257.5</v>
      </c>
    </row>
    <row r="8977" spans="1:3" x14ac:dyDescent="0.25">
      <c r="A8977" s="12" t="str">
        <f>("22-2075")</f>
        <v>22-2075</v>
      </c>
      <c r="B8977" s="15" t="s">
        <v>13725</v>
      </c>
      <c r="C8977" s="32">
        <v>257.5</v>
      </c>
    </row>
    <row r="8978" spans="1:3" x14ac:dyDescent="0.25">
      <c r="A8978" s="12" t="str">
        <f>("22-2225")</f>
        <v>22-2225</v>
      </c>
      <c r="B8978" s="15" t="s">
        <v>13799</v>
      </c>
      <c r="C8978" s="32">
        <v>257.5</v>
      </c>
    </row>
    <row r="8979" spans="1:3" x14ac:dyDescent="0.25">
      <c r="A8979" s="12" t="str">
        <f>("22-2245")</f>
        <v>22-2245</v>
      </c>
      <c r="B8979" s="15" t="s">
        <v>13895</v>
      </c>
      <c r="C8979" s="32">
        <v>251.25</v>
      </c>
    </row>
    <row r="8980" spans="1:3" ht="31.5" x14ac:dyDescent="0.25">
      <c r="A8980" s="12" t="str">
        <f>("22-2255")</f>
        <v>22-2255</v>
      </c>
      <c r="B8980" s="15" t="s">
        <v>13896</v>
      </c>
      <c r="C8980" s="32">
        <v>251.25</v>
      </c>
    </row>
    <row r="8981" spans="1:3" x14ac:dyDescent="0.25">
      <c r="A8981" s="12" t="str">
        <f>("22-2265")</f>
        <v>22-2265</v>
      </c>
      <c r="B8981" s="15" t="s">
        <v>13897</v>
      </c>
      <c r="C8981" s="32">
        <v>251.25</v>
      </c>
    </row>
    <row r="8982" spans="1:3" x14ac:dyDescent="0.25">
      <c r="A8982" s="12" t="str">
        <f>("23-0500")</f>
        <v>23-0500</v>
      </c>
      <c r="B8982" s="15" t="s">
        <v>13898</v>
      </c>
      <c r="C8982" s="32">
        <v>475</v>
      </c>
    </row>
    <row r="8983" spans="1:3" x14ac:dyDescent="0.25">
      <c r="A8983" s="12" t="str">
        <f>("23-0505")</f>
        <v>23-0505</v>
      </c>
      <c r="B8983" s="15" t="s">
        <v>13898</v>
      </c>
      <c r="C8983" s="32">
        <v>426.25</v>
      </c>
    </row>
    <row r="8984" spans="1:3" x14ac:dyDescent="0.25">
      <c r="A8984" s="12" t="str">
        <f>("23-0530")</f>
        <v>23-0530</v>
      </c>
      <c r="B8984" s="15" t="s">
        <v>13899</v>
      </c>
      <c r="C8984" s="32">
        <v>475</v>
      </c>
    </row>
    <row r="8985" spans="1:3" x14ac:dyDescent="0.25">
      <c r="A8985" s="12" t="str">
        <f>("23-0535")</f>
        <v>23-0535</v>
      </c>
      <c r="B8985" s="15" t="s">
        <v>13899</v>
      </c>
      <c r="C8985" s="32">
        <v>426.25</v>
      </c>
    </row>
    <row r="8986" spans="1:3" x14ac:dyDescent="0.25">
      <c r="A8986" s="12" t="str">
        <f>("23-0925")</f>
        <v>23-0925</v>
      </c>
      <c r="B8986" s="15" t="s">
        <v>13900</v>
      </c>
      <c r="C8986" s="32">
        <v>547.5</v>
      </c>
    </row>
    <row r="8987" spans="1:3" x14ac:dyDescent="0.25">
      <c r="A8987" s="12" t="str">
        <f>("23-0930")</f>
        <v>23-0930</v>
      </c>
      <c r="B8987" s="15" t="s">
        <v>13900</v>
      </c>
      <c r="C8987" s="32">
        <v>496.25</v>
      </c>
    </row>
    <row r="8988" spans="1:3" x14ac:dyDescent="0.25">
      <c r="A8988" s="12" t="str">
        <f>("23-0975")</f>
        <v>23-0975</v>
      </c>
      <c r="B8988" s="15" t="s">
        <v>13901</v>
      </c>
      <c r="C8988" s="32">
        <v>496.25</v>
      </c>
    </row>
    <row r="8989" spans="1:3" x14ac:dyDescent="0.25">
      <c r="A8989" s="12" t="str">
        <f>("23-1100")</f>
        <v>23-1100</v>
      </c>
      <c r="B8989" s="15" t="s">
        <v>13902</v>
      </c>
      <c r="C8989" s="32">
        <v>475</v>
      </c>
    </row>
    <row r="8990" spans="1:3" x14ac:dyDescent="0.25">
      <c r="A8990" s="12" t="str">
        <f>("23-1105")</f>
        <v>23-1105</v>
      </c>
      <c r="B8990" s="15" t="s">
        <v>13902</v>
      </c>
      <c r="C8990" s="32">
        <v>426.25</v>
      </c>
    </row>
    <row r="8991" spans="1:3" x14ac:dyDescent="0.25">
      <c r="A8991" s="12" t="str">
        <f>("23-1310")</f>
        <v>23-1310</v>
      </c>
      <c r="B8991" s="15" t="s">
        <v>13903</v>
      </c>
      <c r="C8991" s="32">
        <v>547.5</v>
      </c>
    </row>
    <row r="8992" spans="1:3" x14ac:dyDescent="0.25">
      <c r="A8992" s="12" t="str">
        <f>("23-1315")</f>
        <v>23-1315</v>
      </c>
      <c r="B8992" s="15" t="s">
        <v>13903</v>
      </c>
      <c r="C8992" s="32">
        <v>496.25</v>
      </c>
    </row>
    <row r="8993" spans="1:3" x14ac:dyDescent="0.25">
      <c r="A8993" s="12" t="str">
        <f>("23-1320")</f>
        <v>23-1320</v>
      </c>
      <c r="B8993" s="15" t="s">
        <v>13904</v>
      </c>
      <c r="C8993" s="32">
        <v>475</v>
      </c>
    </row>
    <row r="8994" spans="1:3" x14ac:dyDescent="0.25">
      <c r="A8994" s="12" t="str">
        <f>("23-1325")</f>
        <v>23-1325</v>
      </c>
      <c r="B8994" s="15" t="s">
        <v>13904</v>
      </c>
      <c r="C8994" s="32">
        <v>426.25</v>
      </c>
    </row>
    <row r="8995" spans="1:3" x14ac:dyDescent="0.25">
      <c r="A8995" s="12" t="str">
        <f>("23-1330")</f>
        <v>23-1330</v>
      </c>
      <c r="B8995" s="15" t="s">
        <v>13758</v>
      </c>
      <c r="C8995" s="32">
        <v>547.5</v>
      </c>
    </row>
    <row r="8996" spans="1:3" x14ac:dyDescent="0.25">
      <c r="A8996" s="12" t="str">
        <f>("23-1335")</f>
        <v>23-1335</v>
      </c>
      <c r="B8996" s="15" t="s">
        <v>13758</v>
      </c>
      <c r="C8996" s="32">
        <v>496.25</v>
      </c>
    </row>
    <row r="8997" spans="1:3" x14ac:dyDescent="0.25">
      <c r="A8997" s="12" t="str">
        <f>("23-1400")</f>
        <v>23-1400</v>
      </c>
      <c r="B8997" s="15" t="s">
        <v>13905</v>
      </c>
      <c r="C8997" s="32">
        <v>475</v>
      </c>
    </row>
    <row r="8998" spans="1:3" x14ac:dyDescent="0.25">
      <c r="A8998" s="12" t="str">
        <f>("23-1405")</f>
        <v>23-1405</v>
      </c>
      <c r="B8998" s="15" t="s">
        <v>13905</v>
      </c>
      <c r="C8998" s="32">
        <v>426.25</v>
      </c>
    </row>
    <row r="8999" spans="1:3" x14ac:dyDescent="0.25">
      <c r="A8999" s="12" t="str">
        <f>("23-1430")</f>
        <v>23-1430</v>
      </c>
      <c r="B8999" s="15" t="s">
        <v>13906</v>
      </c>
      <c r="C8999" s="32">
        <v>547.5</v>
      </c>
    </row>
    <row r="9000" spans="1:3" x14ac:dyDescent="0.25">
      <c r="A9000" s="12" t="str">
        <f>("23-1435")</f>
        <v>23-1435</v>
      </c>
      <c r="B9000" s="15" t="s">
        <v>13906</v>
      </c>
      <c r="C9000" s="32">
        <v>496.25</v>
      </c>
    </row>
    <row r="9001" spans="1:3" x14ac:dyDescent="0.25">
      <c r="A9001" s="12" t="str">
        <f>("23-1550")</f>
        <v>23-1550</v>
      </c>
      <c r="B9001" s="15" t="s">
        <v>13907</v>
      </c>
      <c r="C9001" s="32">
        <v>547.5</v>
      </c>
    </row>
    <row r="9002" spans="1:3" x14ac:dyDescent="0.25">
      <c r="A9002" s="12" t="str">
        <f>("23-1555")</f>
        <v>23-1555</v>
      </c>
      <c r="B9002" s="15" t="s">
        <v>13907</v>
      </c>
      <c r="C9002" s="32">
        <v>496.25</v>
      </c>
    </row>
    <row r="9003" spans="1:3" x14ac:dyDescent="0.25">
      <c r="A9003" s="12" t="str">
        <f>("23-1680")</f>
        <v>23-1680</v>
      </c>
      <c r="B9003" s="15" t="s">
        <v>13908</v>
      </c>
      <c r="C9003" s="32">
        <v>547.5</v>
      </c>
    </row>
    <row r="9004" spans="1:3" x14ac:dyDescent="0.25">
      <c r="A9004" s="12" t="str">
        <f>("23-1685")</f>
        <v>23-1685</v>
      </c>
      <c r="B9004" s="15" t="s">
        <v>13908</v>
      </c>
      <c r="C9004" s="32">
        <v>496.25</v>
      </c>
    </row>
    <row r="9005" spans="1:3" x14ac:dyDescent="0.25">
      <c r="A9005" s="12" t="str">
        <f>("23-1880")</f>
        <v>23-1880</v>
      </c>
      <c r="B9005" s="15" t="s">
        <v>13909</v>
      </c>
      <c r="C9005" s="32">
        <v>547.5</v>
      </c>
    </row>
    <row r="9006" spans="1:3" x14ac:dyDescent="0.25">
      <c r="A9006" s="12" t="str">
        <f>("23-1885")</f>
        <v>23-1885</v>
      </c>
      <c r="B9006" s="15" t="s">
        <v>13909</v>
      </c>
      <c r="C9006" s="32">
        <v>496.25</v>
      </c>
    </row>
    <row r="9007" spans="1:3" x14ac:dyDescent="0.25">
      <c r="A9007" s="12" t="str">
        <f>("23-1950")</f>
        <v>23-1950</v>
      </c>
      <c r="B9007" s="15" t="s">
        <v>13910</v>
      </c>
      <c r="C9007" s="32">
        <v>547.5</v>
      </c>
    </row>
    <row r="9008" spans="1:3" x14ac:dyDescent="0.25">
      <c r="A9008" s="12" t="str">
        <f>("23-1955")</f>
        <v>23-1955</v>
      </c>
      <c r="B9008" s="15" t="s">
        <v>13910</v>
      </c>
      <c r="C9008" s="32">
        <v>496.25</v>
      </c>
    </row>
    <row r="9009" spans="1:3" x14ac:dyDescent="0.25">
      <c r="A9009" s="12" t="str">
        <f>("23-2110")</f>
        <v>23-2110</v>
      </c>
      <c r="B9009" s="15" t="s">
        <v>13911</v>
      </c>
      <c r="C9009" s="32">
        <v>475</v>
      </c>
    </row>
    <row r="9010" spans="1:3" x14ac:dyDescent="0.25">
      <c r="A9010" s="12" t="str">
        <f>("23-2115")</f>
        <v>23-2115</v>
      </c>
      <c r="B9010" s="15" t="s">
        <v>13911</v>
      </c>
      <c r="C9010" s="32">
        <v>426.25</v>
      </c>
    </row>
    <row r="9011" spans="1:3" x14ac:dyDescent="0.25">
      <c r="A9011" s="12" t="str">
        <f>("23-2135")</f>
        <v>23-2135</v>
      </c>
      <c r="B9011" s="15" t="s">
        <v>13912</v>
      </c>
      <c r="C9011" s="32">
        <v>496.25</v>
      </c>
    </row>
    <row r="9012" spans="1:3" x14ac:dyDescent="0.25">
      <c r="A9012" s="12" t="str">
        <f>("23-2310")</f>
        <v>23-2310</v>
      </c>
      <c r="B9012" s="15" t="s">
        <v>13762</v>
      </c>
      <c r="C9012" s="32">
        <v>547.5</v>
      </c>
    </row>
    <row r="9013" spans="1:3" x14ac:dyDescent="0.25">
      <c r="A9013" s="12" t="str">
        <f>("23-2315")</f>
        <v>23-2315</v>
      </c>
      <c r="B9013" s="15" t="s">
        <v>13762</v>
      </c>
      <c r="C9013" s="32">
        <v>496.25</v>
      </c>
    </row>
    <row r="9014" spans="1:3" x14ac:dyDescent="0.25">
      <c r="A9014" s="12" t="str">
        <f>("23-2320")</f>
        <v>23-2320</v>
      </c>
      <c r="B9014" s="15" t="s">
        <v>13913</v>
      </c>
      <c r="C9014" s="32">
        <v>475</v>
      </c>
    </row>
    <row r="9015" spans="1:3" x14ac:dyDescent="0.25">
      <c r="A9015" s="12" t="str">
        <f>("23-2325")</f>
        <v>23-2325</v>
      </c>
      <c r="B9015" s="15" t="s">
        <v>13913</v>
      </c>
      <c r="C9015" s="32">
        <v>426.25</v>
      </c>
    </row>
    <row r="9016" spans="1:3" x14ac:dyDescent="0.25">
      <c r="A9016" s="12" t="str">
        <f>("23-2345")</f>
        <v>23-2345</v>
      </c>
      <c r="B9016" s="15" t="s">
        <v>13914</v>
      </c>
      <c r="C9016" s="32">
        <v>426.25</v>
      </c>
    </row>
    <row r="9017" spans="1:3" x14ac:dyDescent="0.25">
      <c r="A9017" s="12" t="str">
        <f>("23-2350")</f>
        <v>23-2350</v>
      </c>
      <c r="B9017" s="15" t="s">
        <v>13915</v>
      </c>
      <c r="C9017" s="32">
        <v>547.5</v>
      </c>
    </row>
    <row r="9018" spans="1:3" x14ac:dyDescent="0.25">
      <c r="A9018" s="12" t="str">
        <f>("23-2355")</f>
        <v>23-2355</v>
      </c>
      <c r="B9018" s="15" t="s">
        <v>13915</v>
      </c>
      <c r="C9018" s="32">
        <v>496.25</v>
      </c>
    </row>
    <row r="9019" spans="1:3" x14ac:dyDescent="0.25">
      <c r="A9019" s="12" t="str">
        <f>("23-2360")</f>
        <v>23-2360</v>
      </c>
      <c r="B9019" s="15" t="s">
        <v>13916</v>
      </c>
      <c r="C9019" s="32">
        <v>547.5</v>
      </c>
    </row>
    <row r="9020" spans="1:3" x14ac:dyDescent="0.25">
      <c r="A9020" s="12" t="str">
        <f>("23-2365")</f>
        <v>23-2365</v>
      </c>
      <c r="B9020" s="15" t="s">
        <v>13917</v>
      </c>
      <c r="C9020" s="32">
        <v>496.25</v>
      </c>
    </row>
    <row r="9021" spans="1:3" x14ac:dyDescent="0.25">
      <c r="A9021" s="12" t="str">
        <f>("23-2400")</f>
        <v>23-2400</v>
      </c>
      <c r="B9021" s="15" t="s">
        <v>13918</v>
      </c>
      <c r="C9021" s="32">
        <v>547.5</v>
      </c>
    </row>
    <row r="9022" spans="1:3" x14ac:dyDescent="0.25">
      <c r="A9022" s="12" t="str">
        <f>("23-2405")</f>
        <v>23-2405</v>
      </c>
      <c r="B9022" s="15" t="s">
        <v>13918</v>
      </c>
      <c r="C9022" s="32">
        <v>496.25</v>
      </c>
    </row>
    <row r="9023" spans="1:3" x14ac:dyDescent="0.25">
      <c r="A9023" s="12" t="str">
        <f>("23-2510")</f>
        <v>23-2510</v>
      </c>
      <c r="B9023" s="15" t="s">
        <v>13919</v>
      </c>
      <c r="C9023" s="32">
        <v>547.5</v>
      </c>
    </row>
    <row r="9024" spans="1:3" x14ac:dyDescent="0.25">
      <c r="A9024" s="12" t="str">
        <f>("23-2515")</f>
        <v>23-2515</v>
      </c>
      <c r="B9024" s="15" t="s">
        <v>13919</v>
      </c>
      <c r="C9024" s="32">
        <v>496.25</v>
      </c>
    </row>
    <row r="9025" spans="1:3" x14ac:dyDescent="0.25">
      <c r="A9025" s="12" t="str">
        <f>("23-2670")</f>
        <v>23-2670</v>
      </c>
      <c r="B9025" s="15" t="s">
        <v>13788</v>
      </c>
      <c r="C9025" s="32">
        <v>547.5</v>
      </c>
    </row>
    <row r="9026" spans="1:3" x14ac:dyDescent="0.25">
      <c r="A9026" s="12" t="str">
        <f>("23-2675")</f>
        <v>23-2675</v>
      </c>
      <c r="B9026" s="15" t="s">
        <v>13788</v>
      </c>
      <c r="C9026" s="32">
        <v>496.25</v>
      </c>
    </row>
    <row r="9027" spans="1:3" x14ac:dyDescent="0.25">
      <c r="A9027" s="12" t="str">
        <f>("23-2750")</f>
        <v>23-2750</v>
      </c>
      <c r="B9027" s="15" t="s">
        <v>13920</v>
      </c>
      <c r="C9027" s="32">
        <v>547.5</v>
      </c>
    </row>
    <row r="9028" spans="1:3" x14ac:dyDescent="0.25">
      <c r="A9028" s="12" t="str">
        <f>("23-2770")</f>
        <v>23-2770</v>
      </c>
      <c r="B9028" s="15" t="s">
        <v>13713</v>
      </c>
      <c r="C9028" s="32">
        <v>547.5</v>
      </c>
    </row>
    <row r="9029" spans="1:3" x14ac:dyDescent="0.25">
      <c r="A9029" s="12" t="str">
        <f>("23-2775")</f>
        <v>23-2775</v>
      </c>
      <c r="B9029" s="15" t="s">
        <v>13713</v>
      </c>
      <c r="C9029" s="32">
        <v>496.25</v>
      </c>
    </row>
    <row r="9030" spans="1:3" x14ac:dyDescent="0.25">
      <c r="A9030" s="12" t="str">
        <f>("23-2780")</f>
        <v>23-2780</v>
      </c>
      <c r="B9030" s="15" t="s">
        <v>13921</v>
      </c>
      <c r="C9030" s="32">
        <v>547.5</v>
      </c>
    </row>
    <row r="9031" spans="1:3" x14ac:dyDescent="0.25">
      <c r="A9031" s="12" t="str">
        <f>("23-2785")</f>
        <v>23-2785</v>
      </c>
      <c r="B9031" s="15" t="s">
        <v>13921</v>
      </c>
      <c r="C9031" s="32">
        <v>496.25</v>
      </c>
    </row>
    <row r="9032" spans="1:3" x14ac:dyDescent="0.25">
      <c r="A9032" s="12" t="str">
        <f>("23-2790")</f>
        <v>23-2790</v>
      </c>
      <c r="B9032" s="15" t="s">
        <v>13922</v>
      </c>
      <c r="C9032" s="32">
        <v>547.5</v>
      </c>
    </row>
    <row r="9033" spans="1:3" x14ac:dyDescent="0.25">
      <c r="A9033" s="12" t="str">
        <f>("23-2795")</f>
        <v>23-2795</v>
      </c>
      <c r="B9033" s="15" t="s">
        <v>13922</v>
      </c>
      <c r="C9033" s="32">
        <v>496.25</v>
      </c>
    </row>
    <row r="9034" spans="1:3" x14ac:dyDescent="0.25">
      <c r="A9034" s="12" t="str">
        <f>("23-2800")</f>
        <v>23-2800</v>
      </c>
      <c r="B9034" s="15" t="s">
        <v>13923</v>
      </c>
      <c r="C9034" s="32">
        <v>547.5</v>
      </c>
    </row>
    <row r="9035" spans="1:3" x14ac:dyDescent="0.25">
      <c r="A9035" s="12" t="str">
        <f>("23-2805")</f>
        <v>23-2805</v>
      </c>
      <c r="B9035" s="15" t="s">
        <v>13923</v>
      </c>
      <c r="C9035" s="32">
        <v>496.25</v>
      </c>
    </row>
    <row r="9036" spans="1:3" x14ac:dyDescent="0.25">
      <c r="A9036" s="12" t="str">
        <f>("23-2860")</f>
        <v>23-2860</v>
      </c>
      <c r="B9036" s="15" t="s">
        <v>13880</v>
      </c>
      <c r="C9036" s="32">
        <v>547.5</v>
      </c>
    </row>
    <row r="9037" spans="1:3" x14ac:dyDescent="0.25">
      <c r="A9037" s="12" t="str">
        <f>("23-2880")</f>
        <v>23-2880</v>
      </c>
      <c r="B9037" s="15" t="s">
        <v>13883</v>
      </c>
      <c r="C9037" s="32">
        <v>547.5</v>
      </c>
    </row>
    <row r="9038" spans="1:3" x14ac:dyDescent="0.25">
      <c r="A9038" s="12" t="str">
        <f>("23-2885")</f>
        <v>23-2885</v>
      </c>
      <c r="B9038" s="15" t="s">
        <v>13883</v>
      </c>
      <c r="C9038" s="32">
        <v>496.25</v>
      </c>
    </row>
    <row r="9039" spans="1:3" x14ac:dyDescent="0.25">
      <c r="A9039" s="12" t="str">
        <f>("23-2890")</f>
        <v>23-2890</v>
      </c>
      <c r="B9039" s="15" t="s">
        <v>13924</v>
      </c>
      <c r="C9039" s="32">
        <v>481.25</v>
      </c>
    </row>
    <row r="9040" spans="1:3" x14ac:dyDescent="0.25">
      <c r="A9040" s="12" t="str">
        <f>("23-2895")</f>
        <v>23-2895</v>
      </c>
      <c r="B9040" s="15" t="s">
        <v>13924</v>
      </c>
      <c r="C9040" s="32">
        <v>402.5</v>
      </c>
    </row>
    <row r="9041" spans="1:3" x14ac:dyDescent="0.25">
      <c r="A9041" s="12" t="str">
        <f>("23-2900")</f>
        <v>23-2900</v>
      </c>
      <c r="B9041" s="15" t="s">
        <v>13925</v>
      </c>
      <c r="C9041" s="32">
        <v>587.5</v>
      </c>
    </row>
    <row r="9042" spans="1:3" x14ac:dyDescent="0.25">
      <c r="A9042" s="12" t="str">
        <f>("23-2990")</f>
        <v>23-2990</v>
      </c>
      <c r="B9042" s="15" t="s">
        <v>13926</v>
      </c>
      <c r="C9042" s="32">
        <v>547.5</v>
      </c>
    </row>
    <row r="9043" spans="1:3" x14ac:dyDescent="0.25">
      <c r="A9043" s="12" t="str">
        <f>("23-2995")</f>
        <v>23-2995</v>
      </c>
      <c r="B9043" s="15" t="s">
        <v>13927</v>
      </c>
      <c r="C9043" s="32">
        <v>496.25</v>
      </c>
    </row>
    <row r="9044" spans="1:3" x14ac:dyDescent="0.25">
      <c r="A9044" s="12" t="str">
        <f>("23-3000")</f>
        <v>23-3000</v>
      </c>
      <c r="B9044" s="15" t="s">
        <v>13928</v>
      </c>
      <c r="C9044" s="32">
        <v>547.5</v>
      </c>
    </row>
    <row r="9045" spans="1:3" x14ac:dyDescent="0.25">
      <c r="A9045" s="12" t="str">
        <f>("23-3005")</f>
        <v>23-3005</v>
      </c>
      <c r="B9045" s="15" t="s">
        <v>13928</v>
      </c>
      <c r="C9045" s="32">
        <v>496.25</v>
      </c>
    </row>
    <row r="9046" spans="1:3" x14ac:dyDescent="0.25">
      <c r="A9046" s="12" t="str">
        <f>("23-3040")</f>
        <v>23-3040</v>
      </c>
      <c r="B9046" s="15" t="s">
        <v>13929</v>
      </c>
      <c r="C9046" s="32">
        <v>547.5</v>
      </c>
    </row>
    <row r="9047" spans="1:3" x14ac:dyDescent="0.25">
      <c r="A9047" s="12" t="str">
        <f>("23-3140")</f>
        <v>23-3140</v>
      </c>
      <c r="B9047" s="15" t="s">
        <v>13930</v>
      </c>
      <c r="C9047" s="32">
        <v>547.5</v>
      </c>
    </row>
    <row r="9048" spans="1:3" x14ac:dyDescent="0.25">
      <c r="A9048" s="12" t="str">
        <f>("23-3150")</f>
        <v>23-3150</v>
      </c>
      <c r="B9048" s="15" t="s">
        <v>13871</v>
      </c>
      <c r="C9048" s="32">
        <v>547.5</v>
      </c>
    </row>
    <row r="9049" spans="1:3" x14ac:dyDescent="0.25">
      <c r="A9049" s="12" t="str">
        <f>("23-3155")</f>
        <v>23-3155</v>
      </c>
      <c r="B9049" s="15" t="s">
        <v>13871</v>
      </c>
      <c r="C9049" s="32">
        <v>496.25</v>
      </c>
    </row>
    <row r="9050" spans="1:3" x14ac:dyDescent="0.25">
      <c r="A9050" s="12" t="str">
        <f>("23-3240")</f>
        <v>23-3240</v>
      </c>
      <c r="B9050" s="15" t="s">
        <v>13715</v>
      </c>
      <c r="C9050" s="32">
        <v>547.5</v>
      </c>
    </row>
    <row r="9051" spans="1:3" x14ac:dyDescent="0.25">
      <c r="A9051" s="12" t="str">
        <f>("23-3245")</f>
        <v>23-3245</v>
      </c>
      <c r="B9051" s="15" t="s">
        <v>13715</v>
      </c>
      <c r="C9051" s="32">
        <v>496.25</v>
      </c>
    </row>
    <row r="9052" spans="1:3" x14ac:dyDescent="0.25">
      <c r="A9052" s="12" t="str">
        <f>("23-3250")</f>
        <v>23-3250</v>
      </c>
      <c r="B9052" s="15" t="s">
        <v>13716</v>
      </c>
      <c r="C9052" s="32">
        <v>587.5</v>
      </c>
    </row>
    <row r="9053" spans="1:3" x14ac:dyDescent="0.25">
      <c r="A9053" s="12" t="str">
        <f>("23-3255")</f>
        <v>23-3255</v>
      </c>
      <c r="B9053" s="15" t="s">
        <v>13716</v>
      </c>
      <c r="C9053" s="32">
        <v>521.25</v>
      </c>
    </row>
    <row r="9054" spans="1:3" x14ac:dyDescent="0.25">
      <c r="A9054" s="12" t="str">
        <f>("23-3265")</f>
        <v>23-3265</v>
      </c>
      <c r="B9054" s="15" t="s">
        <v>13931</v>
      </c>
      <c r="C9054" s="32">
        <v>426.25</v>
      </c>
    </row>
    <row r="9055" spans="1:3" x14ac:dyDescent="0.25">
      <c r="A9055" s="12" t="str">
        <f>("23-3295")</f>
        <v>23-3295</v>
      </c>
      <c r="B9055" s="15" t="s">
        <v>13932</v>
      </c>
      <c r="C9055" s="32">
        <v>496.25</v>
      </c>
    </row>
    <row r="9056" spans="1:3" x14ac:dyDescent="0.25">
      <c r="A9056" s="12" t="str">
        <f>("23-3315")</f>
        <v>23-3315</v>
      </c>
      <c r="B9056" s="15" t="s">
        <v>13790</v>
      </c>
      <c r="C9056" s="32">
        <v>426.25</v>
      </c>
    </row>
    <row r="9057" spans="1:3" x14ac:dyDescent="0.25">
      <c r="A9057" s="12" t="str">
        <f>("23-3380")</f>
        <v>23-3380</v>
      </c>
      <c r="B9057" s="15" t="s">
        <v>13933</v>
      </c>
      <c r="C9057" s="32">
        <v>547.5</v>
      </c>
    </row>
    <row r="9058" spans="1:3" x14ac:dyDescent="0.25">
      <c r="A9058" s="12" t="str">
        <f>("23-3405")</f>
        <v>23-3405</v>
      </c>
      <c r="B9058" s="15" t="s">
        <v>13934</v>
      </c>
      <c r="C9058" s="32">
        <v>496.25</v>
      </c>
    </row>
    <row r="9059" spans="1:3" x14ac:dyDescent="0.25">
      <c r="A9059" s="12" t="str">
        <f>("23-3500")</f>
        <v>23-3500</v>
      </c>
      <c r="B9059" s="15" t="s">
        <v>13935</v>
      </c>
      <c r="C9059" s="32">
        <v>475</v>
      </c>
    </row>
    <row r="9060" spans="1:3" x14ac:dyDescent="0.25">
      <c r="A9060" s="12" t="str">
        <f>("23-3505")</f>
        <v>23-3505</v>
      </c>
      <c r="B9060" s="15" t="s">
        <v>13935</v>
      </c>
      <c r="C9060" s="32">
        <v>426.25</v>
      </c>
    </row>
    <row r="9061" spans="1:3" x14ac:dyDescent="0.25">
      <c r="A9061" s="12" t="str">
        <f>("23-3515")</f>
        <v>23-3515</v>
      </c>
      <c r="B9061" s="15" t="s">
        <v>13791</v>
      </c>
      <c r="C9061" s="32">
        <v>496.25</v>
      </c>
    </row>
    <row r="9062" spans="1:3" x14ac:dyDescent="0.25">
      <c r="A9062" s="12" t="str">
        <f>("23-3520")</f>
        <v>23-3520</v>
      </c>
      <c r="B9062" s="15" t="s">
        <v>13770</v>
      </c>
      <c r="C9062" s="32">
        <v>547.5</v>
      </c>
    </row>
    <row r="9063" spans="1:3" x14ac:dyDescent="0.25">
      <c r="A9063" s="12" t="str">
        <f>("23-3525")</f>
        <v>23-3525</v>
      </c>
      <c r="B9063" s="15" t="s">
        <v>13770</v>
      </c>
      <c r="C9063" s="32">
        <v>496.25</v>
      </c>
    </row>
    <row r="9064" spans="1:3" x14ac:dyDescent="0.25">
      <c r="A9064" s="12" t="str">
        <f>("23-3540")</f>
        <v>23-3540</v>
      </c>
      <c r="B9064" s="15" t="s">
        <v>13771</v>
      </c>
      <c r="C9064" s="32">
        <v>475</v>
      </c>
    </row>
    <row r="9065" spans="1:3" x14ac:dyDescent="0.25">
      <c r="A9065" s="12" t="str">
        <f>("23-3545")</f>
        <v>23-3545</v>
      </c>
      <c r="B9065" s="15" t="s">
        <v>13771</v>
      </c>
      <c r="C9065" s="32">
        <v>426.25</v>
      </c>
    </row>
    <row r="9066" spans="1:3" x14ac:dyDescent="0.25">
      <c r="A9066" s="12" t="str">
        <f>("23-3550")</f>
        <v>23-3550</v>
      </c>
      <c r="B9066" s="15" t="s">
        <v>13718</v>
      </c>
      <c r="C9066" s="32">
        <v>547.5</v>
      </c>
    </row>
    <row r="9067" spans="1:3" x14ac:dyDescent="0.25">
      <c r="A9067" s="12" t="str">
        <f>("23-3555")</f>
        <v>23-3555</v>
      </c>
      <c r="B9067" s="15" t="s">
        <v>13718</v>
      </c>
      <c r="C9067" s="32">
        <v>496.25</v>
      </c>
    </row>
    <row r="9068" spans="1:3" ht="31.5" x14ac:dyDescent="0.25">
      <c r="A9068" s="12" t="str">
        <f>("23-3560")</f>
        <v>23-3560</v>
      </c>
      <c r="B9068" s="15" t="s">
        <v>13936</v>
      </c>
      <c r="C9068" s="32">
        <v>547.5</v>
      </c>
    </row>
    <row r="9069" spans="1:3" ht="31.5" x14ac:dyDescent="0.25">
      <c r="A9069" s="12" t="str">
        <f>("23-3565")</f>
        <v>23-3565</v>
      </c>
      <c r="B9069" s="15" t="s">
        <v>13936</v>
      </c>
      <c r="C9069" s="32">
        <v>521.25</v>
      </c>
    </row>
    <row r="9070" spans="1:3" x14ac:dyDescent="0.25">
      <c r="A9070" s="12" t="str">
        <f>("23-3605")</f>
        <v>23-3605</v>
      </c>
      <c r="B9070" s="15" t="s">
        <v>13774</v>
      </c>
      <c r="C9070" s="32">
        <v>496.25</v>
      </c>
    </row>
    <row r="9071" spans="1:3" x14ac:dyDescent="0.25">
      <c r="A9071" s="12" t="str">
        <f>("23-3610")</f>
        <v>23-3610</v>
      </c>
      <c r="B9071" s="15" t="s">
        <v>13775</v>
      </c>
      <c r="C9071" s="32">
        <v>547.5</v>
      </c>
    </row>
    <row r="9072" spans="1:3" x14ac:dyDescent="0.25">
      <c r="A9072" s="12" t="str">
        <f>("23-3615")</f>
        <v>23-3615</v>
      </c>
      <c r="B9072" s="15" t="s">
        <v>13775</v>
      </c>
      <c r="C9072" s="32">
        <v>496.25</v>
      </c>
    </row>
    <row r="9073" spans="1:3" x14ac:dyDescent="0.25">
      <c r="A9073" s="12" t="str">
        <f>("23-3690")</f>
        <v>23-3690</v>
      </c>
      <c r="B9073" s="15" t="s">
        <v>13937</v>
      </c>
      <c r="C9073" s="32">
        <v>475</v>
      </c>
    </row>
    <row r="9074" spans="1:3" x14ac:dyDescent="0.25">
      <c r="A9074" s="12" t="str">
        <f>("23-3695")</f>
        <v>23-3695</v>
      </c>
      <c r="B9074" s="15" t="s">
        <v>13937</v>
      </c>
      <c r="C9074" s="32">
        <v>426.25</v>
      </c>
    </row>
    <row r="9075" spans="1:3" ht="31.5" x14ac:dyDescent="0.25">
      <c r="A9075" s="12" t="str">
        <f>("23-3710")</f>
        <v>23-3710</v>
      </c>
      <c r="B9075" s="15" t="s">
        <v>13720</v>
      </c>
      <c r="C9075" s="32">
        <v>575</v>
      </c>
    </row>
    <row r="9076" spans="1:3" ht="31.5" x14ac:dyDescent="0.25">
      <c r="A9076" s="12" t="str">
        <f>("23-3715")</f>
        <v>23-3715</v>
      </c>
      <c r="B9076" s="15" t="s">
        <v>13720</v>
      </c>
      <c r="C9076" s="32">
        <v>520</v>
      </c>
    </row>
    <row r="9077" spans="1:3" ht="31.5" x14ac:dyDescent="0.25">
      <c r="A9077" s="12" t="str">
        <f>("23-3810")</f>
        <v>23-3810</v>
      </c>
      <c r="B9077" s="15" t="s">
        <v>13776</v>
      </c>
      <c r="C9077" s="32">
        <v>547.5</v>
      </c>
    </row>
    <row r="9078" spans="1:3" ht="31.5" x14ac:dyDescent="0.25">
      <c r="A9078" s="12" t="str">
        <f>("23-3815")</f>
        <v>23-3815</v>
      </c>
      <c r="B9078" s="15" t="s">
        <v>13776</v>
      </c>
      <c r="C9078" s="32">
        <v>496.25</v>
      </c>
    </row>
    <row r="9079" spans="1:3" x14ac:dyDescent="0.25">
      <c r="A9079" s="12" t="str">
        <f>("23-3820")</f>
        <v>23-3820</v>
      </c>
      <c r="B9079" s="15" t="s">
        <v>13777</v>
      </c>
      <c r="C9079" s="32">
        <v>547.5</v>
      </c>
    </row>
    <row r="9080" spans="1:3" x14ac:dyDescent="0.25">
      <c r="A9080" s="12" t="str">
        <f>("23-3825")</f>
        <v>23-3825</v>
      </c>
      <c r="B9080" s="15" t="s">
        <v>13777</v>
      </c>
      <c r="C9080" s="32">
        <v>496.25</v>
      </c>
    </row>
    <row r="9081" spans="1:3" x14ac:dyDescent="0.25">
      <c r="A9081" s="12" t="str">
        <f>("23-3835")</f>
        <v>23-3835</v>
      </c>
      <c r="B9081" s="15" t="s">
        <v>13938</v>
      </c>
      <c r="C9081" s="32">
        <v>496.25</v>
      </c>
    </row>
    <row r="9082" spans="1:3" x14ac:dyDescent="0.25">
      <c r="A9082" s="12" t="str">
        <f>("23-3840")</f>
        <v>23-3840</v>
      </c>
      <c r="B9082" s="15" t="s">
        <v>13939</v>
      </c>
      <c r="C9082" s="32">
        <v>475</v>
      </c>
    </row>
    <row r="9083" spans="1:3" x14ac:dyDescent="0.25">
      <c r="A9083" s="12" t="str">
        <f>("23-3845")</f>
        <v>23-3845</v>
      </c>
      <c r="B9083" s="15" t="s">
        <v>13939</v>
      </c>
      <c r="C9083" s="32">
        <v>426.25</v>
      </c>
    </row>
    <row r="9084" spans="1:3" x14ac:dyDescent="0.25">
      <c r="A9084" s="12" t="str">
        <f>("23-3855")</f>
        <v>23-3855</v>
      </c>
      <c r="B9084" s="15" t="s">
        <v>13778</v>
      </c>
      <c r="C9084" s="32">
        <v>496.25</v>
      </c>
    </row>
    <row r="9085" spans="1:3" x14ac:dyDescent="0.25">
      <c r="A9085" s="12" t="str">
        <f>("23-3865")</f>
        <v>23-3865</v>
      </c>
      <c r="B9085" s="15" t="s">
        <v>13779</v>
      </c>
      <c r="C9085" s="32">
        <v>496.25</v>
      </c>
    </row>
    <row r="9086" spans="1:3" x14ac:dyDescent="0.25">
      <c r="A9086" s="12" t="str">
        <f>("23-3925")</f>
        <v>23-3925</v>
      </c>
      <c r="B9086" s="15" t="s">
        <v>13780</v>
      </c>
      <c r="C9086" s="32">
        <v>426.25</v>
      </c>
    </row>
    <row r="9087" spans="1:3" x14ac:dyDescent="0.25">
      <c r="A9087" s="12" t="str">
        <f>("23-3930")</f>
        <v>23-3930</v>
      </c>
      <c r="B9087" s="15" t="s">
        <v>13723</v>
      </c>
      <c r="C9087" s="32">
        <v>547.5</v>
      </c>
    </row>
    <row r="9088" spans="1:3" x14ac:dyDescent="0.25">
      <c r="A9088" s="12" t="str">
        <f>("23-3935")</f>
        <v>23-3935</v>
      </c>
      <c r="B9088" s="15" t="s">
        <v>13723</v>
      </c>
      <c r="C9088" s="32">
        <v>496.25</v>
      </c>
    </row>
    <row r="9089" spans="1:3" x14ac:dyDescent="0.25">
      <c r="A9089" s="12" t="str">
        <f>("23-3940")</f>
        <v>23-3940</v>
      </c>
      <c r="B9089" s="15" t="s">
        <v>13724</v>
      </c>
      <c r="C9089" s="32">
        <v>547.5</v>
      </c>
    </row>
    <row r="9090" spans="1:3" x14ac:dyDescent="0.25">
      <c r="A9090" s="12" t="str">
        <f>("23-3945")</f>
        <v>23-3945</v>
      </c>
      <c r="B9090" s="15" t="s">
        <v>13724</v>
      </c>
      <c r="C9090" s="32">
        <v>496.25</v>
      </c>
    </row>
    <row r="9091" spans="1:3" x14ac:dyDescent="0.25">
      <c r="A9091" s="12" t="str">
        <f>("23-4000")</f>
        <v>23-4000</v>
      </c>
      <c r="B9091" s="15" t="s">
        <v>13798</v>
      </c>
      <c r="C9091" s="32">
        <v>547.5</v>
      </c>
    </row>
    <row r="9092" spans="1:3" x14ac:dyDescent="0.25">
      <c r="A9092" s="12" t="str">
        <f>("23-4005")</f>
        <v>23-4005</v>
      </c>
      <c r="B9092" s="15" t="s">
        <v>13798</v>
      </c>
      <c r="C9092" s="32">
        <v>496.25</v>
      </c>
    </row>
    <row r="9093" spans="1:3" x14ac:dyDescent="0.25">
      <c r="A9093" s="12" t="str">
        <f>("23-4010")</f>
        <v>23-4010</v>
      </c>
      <c r="B9093" s="15" t="s">
        <v>13725</v>
      </c>
      <c r="C9093" s="32">
        <v>547.5</v>
      </c>
    </row>
    <row r="9094" spans="1:3" x14ac:dyDescent="0.25">
      <c r="A9094" s="12" t="str">
        <f>("23-4015")</f>
        <v>23-4015</v>
      </c>
      <c r="B9094" s="15" t="s">
        <v>13725</v>
      </c>
      <c r="C9094" s="32">
        <v>496.25</v>
      </c>
    </row>
    <row r="9095" spans="1:3" x14ac:dyDescent="0.25">
      <c r="A9095" s="12" t="str">
        <f>("23-4020")</f>
        <v>23-4020</v>
      </c>
      <c r="B9095" s="15" t="s">
        <v>13781</v>
      </c>
      <c r="C9095" s="32">
        <v>547.5</v>
      </c>
    </row>
    <row r="9096" spans="1:3" x14ac:dyDescent="0.25">
      <c r="A9096" s="12" t="str">
        <f>("23-4025")</f>
        <v>23-4025</v>
      </c>
      <c r="B9096" s="15" t="s">
        <v>13781</v>
      </c>
      <c r="C9096" s="32">
        <v>496.25</v>
      </c>
    </row>
    <row r="9097" spans="1:3" x14ac:dyDescent="0.25">
      <c r="A9097" s="12" t="str">
        <f>("23-4065")</f>
        <v>23-4065</v>
      </c>
      <c r="B9097" s="15" t="s">
        <v>13807</v>
      </c>
      <c r="C9097" s="32">
        <v>496.25</v>
      </c>
    </row>
    <row r="9098" spans="1:3" x14ac:dyDescent="0.25">
      <c r="A9098" s="12" t="str">
        <f>("23-4080")</f>
        <v>23-4080</v>
      </c>
      <c r="B9098" s="15" t="s">
        <v>13727</v>
      </c>
      <c r="C9098" s="32">
        <v>547.5</v>
      </c>
    </row>
    <row r="9099" spans="1:3" x14ac:dyDescent="0.25">
      <c r="A9099" s="12" t="str">
        <f>("23-4085")</f>
        <v>23-4085</v>
      </c>
      <c r="B9099" s="15" t="s">
        <v>13727</v>
      </c>
      <c r="C9099" s="32">
        <v>521.25</v>
      </c>
    </row>
    <row r="9100" spans="1:3" x14ac:dyDescent="0.25">
      <c r="A9100" s="12" t="str">
        <f>("23-4090")</f>
        <v>23-4090</v>
      </c>
      <c r="B9100" s="15" t="s">
        <v>13728</v>
      </c>
      <c r="C9100" s="32">
        <v>547.5</v>
      </c>
    </row>
    <row r="9101" spans="1:3" x14ac:dyDescent="0.25">
      <c r="A9101" s="12" t="str">
        <f>("23-4095")</f>
        <v>23-4095</v>
      </c>
      <c r="B9101" s="15" t="s">
        <v>13728</v>
      </c>
      <c r="C9101" s="32">
        <v>496.25</v>
      </c>
    </row>
    <row r="9102" spans="1:3" x14ac:dyDescent="0.25">
      <c r="A9102" s="12" t="str">
        <f>("23-4110")</f>
        <v>23-4110</v>
      </c>
      <c r="B9102" s="15" t="s">
        <v>13940</v>
      </c>
      <c r="C9102" s="32">
        <v>475</v>
      </c>
    </row>
    <row r="9103" spans="1:3" x14ac:dyDescent="0.25">
      <c r="A9103" s="12" t="str">
        <f>("23-4115")</f>
        <v>23-4115</v>
      </c>
      <c r="B9103" s="15" t="s">
        <v>13940</v>
      </c>
      <c r="C9103" s="32">
        <v>426.25</v>
      </c>
    </row>
    <row r="9104" spans="1:3" x14ac:dyDescent="0.25">
      <c r="A9104" s="12" t="str">
        <f>("23-4120")</f>
        <v>23-4120</v>
      </c>
      <c r="B9104" s="15" t="s">
        <v>13782</v>
      </c>
      <c r="C9104" s="32">
        <v>575</v>
      </c>
    </row>
    <row r="9105" spans="1:3" x14ac:dyDescent="0.25">
      <c r="A9105" s="12" t="str">
        <f>("23-4125")</f>
        <v>23-4125</v>
      </c>
      <c r="B9105" s="15" t="s">
        <v>13782</v>
      </c>
      <c r="C9105" s="32">
        <v>520</v>
      </c>
    </row>
    <row r="9106" spans="1:3" x14ac:dyDescent="0.25">
      <c r="A9106" s="12" t="str">
        <f>("23-4130")</f>
        <v>23-4130</v>
      </c>
      <c r="B9106" s="15" t="s">
        <v>13783</v>
      </c>
      <c r="C9106" s="32">
        <v>547.5</v>
      </c>
    </row>
    <row r="9107" spans="1:3" x14ac:dyDescent="0.25">
      <c r="A9107" s="12" t="str">
        <f>("23-4135")</f>
        <v>23-4135</v>
      </c>
      <c r="B9107" s="15" t="s">
        <v>13783</v>
      </c>
      <c r="C9107" s="32">
        <v>496.25</v>
      </c>
    </row>
    <row r="9108" spans="1:3" x14ac:dyDescent="0.25">
      <c r="A9108" s="12" t="str">
        <f>("23-4150")</f>
        <v>23-4150</v>
      </c>
      <c r="B9108" s="15" t="s">
        <v>13803</v>
      </c>
      <c r="C9108" s="32">
        <v>547.5</v>
      </c>
    </row>
    <row r="9109" spans="1:3" x14ac:dyDescent="0.25">
      <c r="A9109" s="12" t="str">
        <f>("23-4155")</f>
        <v>23-4155</v>
      </c>
      <c r="B9109" s="15" t="s">
        <v>13803</v>
      </c>
      <c r="C9109" s="32">
        <v>496.25</v>
      </c>
    </row>
    <row r="9110" spans="1:3" x14ac:dyDescent="0.25">
      <c r="A9110" s="12" t="str">
        <f>("24-54610")</f>
        <v>24-54610</v>
      </c>
      <c r="B9110" s="15" t="s">
        <v>13941</v>
      </c>
      <c r="C9110" s="32">
        <v>1043.75</v>
      </c>
    </row>
    <row r="9111" spans="1:3" x14ac:dyDescent="0.25">
      <c r="A9111" s="12" t="str">
        <f>("25-0505")</f>
        <v>25-0505</v>
      </c>
      <c r="B9111" s="15" t="s">
        <v>13898</v>
      </c>
      <c r="C9111" s="32">
        <v>447.5</v>
      </c>
    </row>
    <row r="9112" spans="1:3" x14ac:dyDescent="0.25">
      <c r="A9112" s="12" t="str">
        <f>("25-0565")</f>
        <v>25-0565</v>
      </c>
      <c r="B9112" s="15" t="s">
        <v>13942</v>
      </c>
      <c r="C9112" s="32">
        <v>447.5</v>
      </c>
    </row>
    <row r="9113" spans="1:3" x14ac:dyDescent="0.25">
      <c r="A9113" s="12" t="str">
        <f>("25-0575")</f>
        <v>25-0575</v>
      </c>
      <c r="B9113" s="15" t="s">
        <v>13943</v>
      </c>
      <c r="C9113" s="32">
        <v>447.5</v>
      </c>
    </row>
    <row r="9114" spans="1:3" x14ac:dyDescent="0.25">
      <c r="A9114" s="12" t="str">
        <f>("25-0625")</f>
        <v>25-0625</v>
      </c>
      <c r="B9114" s="15" t="s">
        <v>13944</v>
      </c>
      <c r="C9114" s="32">
        <v>531.25</v>
      </c>
    </row>
    <row r="9115" spans="1:3" x14ac:dyDescent="0.25">
      <c r="A9115" s="12" t="str">
        <f>("25-0655")</f>
        <v>25-0655</v>
      </c>
      <c r="B9115" s="15" t="s">
        <v>13945</v>
      </c>
      <c r="C9115" s="32">
        <v>447.5</v>
      </c>
    </row>
    <row r="9116" spans="1:3" x14ac:dyDescent="0.25">
      <c r="A9116" s="12" t="str">
        <f>("25-0675")</f>
        <v>25-0675</v>
      </c>
      <c r="B9116" s="15" t="s">
        <v>13946</v>
      </c>
      <c r="C9116" s="32">
        <v>531.25</v>
      </c>
    </row>
    <row r="9117" spans="1:3" x14ac:dyDescent="0.25">
      <c r="A9117" s="12" t="str">
        <f>("25-0685")</f>
        <v>25-0685</v>
      </c>
      <c r="B9117" s="15" t="s">
        <v>13947</v>
      </c>
      <c r="C9117" s="32">
        <v>531.25</v>
      </c>
    </row>
    <row r="9118" spans="1:3" x14ac:dyDescent="0.25">
      <c r="A9118" s="12" t="str">
        <f>("25-0735")</f>
        <v>25-0735</v>
      </c>
      <c r="B9118" s="15" t="s">
        <v>13948</v>
      </c>
      <c r="C9118" s="32">
        <v>531.25</v>
      </c>
    </row>
    <row r="9119" spans="1:3" x14ac:dyDescent="0.25">
      <c r="A9119" s="12" t="str">
        <f>("25-0835")</f>
        <v>25-0835</v>
      </c>
      <c r="B9119" s="15" t="s">
        <v>13949</v>
      </c>
      <c r="C9119" s="32">
        <v>447.5</v>
      </c>
    </row>
    <row r="9120" spans="1:3" x14ac:dyDescent="0.25">
      <c r="A9120" s="12" t="str">
        <f>("25-0855")</f>
        <v>25-0855</v>
      </c>
      <c r="B9120" s="15" t="s">
        <v>13950</v>
      </c>
      <c r="C9120" s="32">
        <v>531.25</v>
      </c>
    </row>
    <row r="9121" spans="1:3" x14ac:dyDescent="0.25">
      <c r="A9121" s="12" t="str">
        <f>("25-0975")</f>
        <v>25-0975</v>
      </c>
      <c r="B9121" s="15" t="s">
        <v>13951</v>
      </c>
      <c r="C9121" s="32">
        <v>447.5</v>
      </c>
    </row>
    <row r="9122" spans="1:3" x14ac:dyDescent="0.25">
      <c r="A9122" s="12" t="str">
        <f>("25-1245")</f>
        <v>25-1245</v>
      </c>
      <c r="B9122" s="15" t="s">
        <v>13952</v>
      </c>
      <c r="C9122" s="32">
        <v>531.25</v>
      </c>
    </row>
    <row r="9123" spans="1:3" x14ac:dyDescent="0.25">
      <c r="A9123" s="12" t="str">
        <f>("25-1325")</f>
        <v>25-1325</v>
      </c>
      <c r="B9123" s="15" t="s">
        <v>13953</v>
      </c>
      <c r="C9123" s="32">
        <v>447.5</v>
      </c>
    </row>
    <row r="9124" spans="1:3" x14ac:dyDescent="0.25">
      <c r="A9124" s="12" t="str">
        <f>("25-1455")</f>
        <v>25-1455</v>
      </c>
      <c r="B9124" s="15" t="s">
        <v>13954</v>
      </c>
      <c r="C9124" s="32">
        <v>531.25</v>
      </c>
    </row>
    <row r="9125" spans="1:3" x14ac:dyDescent="0.25">
      <c r="A9125" s="12" t="str">
        <f>("25-1685")</f>
        <v>25-1685</v>
      </c>
      <c r="B9125" s="15" t="s">
        <v>13760</v>
      </c>
      <c r="C9125" s="32">
        <v>531.25</v>
      </c>
    </row>
    <row r="9126" spans="1:3" x14ac:dyDescent="0.25">
      <c r="A9126" s="12" t="str">
        <f>("25-1955")</f>
        <v>25-1955</v>
      </c>
      <c r="B9126" s="15" t="s">
        <v>13910</v>
      </c>
      <c r="C9126" s="32">
        <v>531.25</v>
      </c>
    </row>
    <row r="9127" spans="1:3" x14ac:dyDescent="0.25">
      <c r="A9127" s="12" t="str">
        <f>("25-2015")</f>
        <v>25-2015</v>
      </c>
      <c r="B9127" s="15" t="s">
        <v>13955</v>
      </c>
      <c r="C9127" s="32">
        <v>531.25</v>
      </c>
    </row>
    <row r="9128" spans="1:3" x14ac:dyDescent="0.25">
      <c r="A9128" s="12" t="str">
        <f>("25-2105")</f>
        <v>25-2105</v>
      </c>
      <c r="B9128" s="15" t="s">
        <v>13956</v>
      </c>
      <c r="C9128" s="32">
        <v>447.5</v>
      </c>
    </row>
    <row r="9129" spans="1:3" x14ac:dyDescent="0.25">
      <c r="A9129" s="12" t="str">
        <f>("25-2115")</f>
        <v>25-2115</v>
      </c>
      <c r="B9129" s="15" t="s">
        <v>13957</v>
      </c>
      <c r="C9129" s="32">
        <v>531.25</v>
      </c>
    </row>
    <row r="9130" spans="1:3" x14ac:dyDescent="0.25">
      <c r="A9130" s="12" t="str">
        <f>("25-2755")</f>
        <v>25-2755</v>
      </c>
      <c r="B9130" s="15" t="s">
        <v>13920</v>
      </c>
      <c r="C9130" s="32">
        <v>531.25</v>
      </c>
    </row>
    <row r="9131" spans="1:3" x14ac:dyDescent="0.25">
      <c r="A9131" s="12" t="str">
        <f>("25-3545")</f>
        <v>25-3545</v>
      </c>
      <c r="B9131" s="15" t="s">
        <v>13771</v>
      </c>
      <c r="C9131" s="32">
        <v>447.5</v>
      </c>
    </row>
    <row r="9132" spans="1:3" ht="31.5" x14ac:dyDescent="0.25">
      <c r="A9132" s="12" t="str">
        <f>("25-3565")</f>
        <v>25-3565</v>
      </c>
      <c r="B9132" s="15" t="s">
        <v>13719</v>
      </c>
      <c r="C9132" s="32">
        <v>531.25</v>
      </c>
    </row>
    <row r="9133" spans="1:3" x14ac:dyDescent="0.25">
      <c r="A9133" s="12" t="str">
        <f>("25-3925")</f>
        <v>25-3925</v>
      </c>
      <c r="B9133" s="15" t="s">
        <v>13780</v>
      </c>
      <c r="C9133" s="32">
        <v>447.5</v>
      </c>
    </row>
    <row r="9134" spans="1:3" x14ac:dyDescent="0.25">
      <c r="A9134" s="12" t="str">
        <f>("27-6100")</f>
        <v>27-6100</v>
      </c>
      <c r="B9134" s="15" t="s">
        <v>13958</v>
      </c>
      <c r="C9134" s="32">
        <v>436.25</v>
      </c>
    </row>
    <row r="9135" spans="1:3" x14ac:dyDescent="0.25">
      <c r="A9135" s="12" t="str">
        <f>("27-6105")</f>
        <v>27-6105</v>
      </c>
      <c r="B9135" s="15" t="s">
        <v>13959</v>
      </c>
      <c r="C9135" s="32">
        <v>416.25</v>
      </c>
    </row>
    <row r="9136" spans="1:3" x14ac:dyDescent="0.25">
      <c r="A9136" s="12" t="str">
        <f>("27-6110")</f>
        <v>27-6110</v>
      </c>
      <c r="B9136" s="15" t="s">
        <v>13960</v>
      </c>
      <c r="C9136" s="32">
        <v>556.25</v>
      </c>
    </row>
    <row r="9137" spans="1:3" x14ac:dyDescent="0.25">
      <c r="A9137" s="12" t="str">
        <f>("27-6115")</f>
        <v>27-6115</v>
      </c>
      <c r="B9137" s="15" t="s">
        <v>13961</v>
      </c>
      <c r="C9137" s="32">
        <v>511.25</v>
      </c>
    </row>
    <row r="9138" spans="1:3" x14ac:dyDescent="0.25">
      <c r="A9138" s="12" t="str">
        <f>("27-6120")</f>
        <v>27-6120</v>
      </c>
      <c r="B9138" s="15" t="s">
        <v>13962</v>
      </c>
      <c r="C9138" s="32">
        <v>581.25</v>
      </c>
    </row>
    <row r="9139" spans="1:3" x14ac:dyDescent="0.25">
      <c r="A9139" s="12" t="str">
        <f>("27-6125")</f>
        <v>27-6125</v>
      </c>
      <c r="B9139" s="15" t="s">
        <v>13963</v>
      </c>
      <c r="C9139" s="32">
        <v>530</v>
      </c>
    </row>
    <row r="9140" spans="1:3" x14ac:dyDescent="0.25">
      <c r="A9140" s="12" t="str">
        <f>("27-6130")</f>
        <v>27-6130</v>
      </c>
      <c r="B9140" s="15" t="s">
        <v>13964</v>
      </c>
      <c r="C9140" s="32">
        <v>648.75</v>
      </c>
    </row>
    <row r="9141" spans="1:3" x14ac:dyDescent="0.25">
      <c r="A9141" s="12" t="str">
        <f>("27-6135")</f>
        <v>27-6135</v>
      </c>
      <c r="B9141" s="15" t="s">
        <v>13965</v>
      </c>
      <c r="C9141" s="32">
        <v>590</v>
      </c>
    </row>
    <row r="9142" spans="1:3" x14ac:dyDescent="0.25">
      <c r="A9142" s="12" t="str">
        <f>("27-6140")</f>
        <v>27-6140</v>
      </c>
      <c r="B9142" s="15" t="s">
        <v>13966</v>
      </c>
      <c r="C9142" s="32">
        <v>763.75</v>
      </c>
    </row>
    <row r="9143" spans="1:3" x14ac:dyDescent="0.25">
      <c r="A9143" s="12" t="str">
        <f>("27-6145")</f>
        <v>27-6145</v>
      </c>
      <c r="B9143" s="15" t="s">
        <v>13967</v>
      </c>
      <c r="C9143" s="32">
        <v>693.75</v>
      </c>
    </row>
    <row r="9144" spans="1:3" x14ac:dyDescent="0.25">
      <c r="A9144" s="12" t="str">
        <f>("27-6150")</f>
        <v>27-6150</v>
      </c>
      <c r="B9144" s="15" t="s">
        <v>13968</v>
      </c>
      <c r="C9144" s="32">
        <v>678.75</v>
      </c>
    </row>
    <row r="9145" spans="1:3" x14ac:dyDescent="0.25">
      <c r="A9145" s="12" t="str">
        <f>("27-6155")</f>
        <v>27-6155</v>
      </c>
      <c r="B9145" s="15" t="s">
        <v>13969</v>
      </c>
      <c r="C9145" s="32">
        <v>641.25</v>
      </c>
    </row>
    <row r="9146" spans="1:3" x14ac:dyDescent="0.25">
      <c r="A9146" s="12" t="str">
        <f>("27-6600")</f>
        <v>27-6600</v>
      </c>
      <c r="B9146" s="15" t="s">
        <v>13970</v>
      </c>
      <c r="C9146" s="32">
        <v>436.25</v>
      </c>
    </row>
    <row r="9147" spans="1:3" x14ac:dyDescent="0.25">
      <c r="A9147" s="12" t="str">
        <f>("27-6610")</f>
        <v>27-6610</v>
      </c>
      <c r="B9147" s="15" t="s">
        <v>13971</v>
      </c>
      <c r="C9147" s="32">
        <v>556.25</v>
      </c>
    </row>
    <row r="9148" spans="1:3" x14ac:dyDescent="0.25">
      <c r="A9148" s="12" t="str">
        <f>("27-6620")</f>
        <v>27-6620</v>
      </c>
      <c r="B9148" s="15" t="s">
        <v>13972</v>
      </c>
      <c r="C9148" s="32">
        <v>581.25</v>
      </c>
    </row>
    <row r="9149" spans="1:3" x14ac:dyDescent="0.25">
      <c r="A9149" s="12" t="str">
        <f>("27-6630")</f>
        <v>27-6630</v>
      </c>
      <c r="B9149" s="15" t="s">
        <v>13973</v>
      </c>
      <c r="C9149" s="32">
        <v>648.75</v>
      </c>
    </row>
    <row r="9150" spans="1:3" x14ac:dyDescent="0.25">
      <c r="A9150" s="12" t="str">
        <f>("27-6640")</f>
        <v>27-6640</v>
      </c>
      <c r="B9150" s="15" t="s">
        <v>13974</v>
      </c>
      <c r="C9150" s="32">
        <v>763.75</v>
      </c>
    </row>
    <row r="9151" spans="1:3" x14ac:dyDescent="0.25">
      <c r="A9151" s="12" t="str">
        <f>("27-6650")</f>
        <v>27-6650</v>
      </c>
      <c r="B9151" s="15" t="s">
        <v>13975</v>
      </c>
      <c r="C9151" s="32">
        <v>678.75</v>
      </c>
    </row>
    <row r="9152" spans="1:3" x14ac:dyDescent="0.25">
      <c r="A9152" s="12" t="str">
        <f>("27-74705")</f>
        <v>27-74705</v>
      </c>
      <c r="B9152" s="15" t="s">
        <v>13976</v>
      </c>
      <c r="C9152" s="32">
        <v>512.5</v>
      </c>
    </row>
    <row r="9153" spans="1:3" x14ac:dyDescent="0.25">
      <c r="A9153" s="12" t="str">
        <f>("27-74715")</f>
        <v>27-74715</v>
      </c>
      <c r="B9153" s="15" t="s">
        <v>13977</v>
      </c>
      <c r="C9153" s="32">
        <v>585</v>
      </c>
    </row>
    <row r="9154" spans="1:3" x14ac:dyDescent="0.25">
      <c r="A9154" s="12" t="str">
        <f>("27-74725")</f>
        <v>27-74725</v>
      </c>
      <c r="B9154" s="15" t="s">
        <v>13978</v>
      </c>
      <c r="C9154" s="32">
        <v>585</v>
      </c>
    </row>
    <row r="9155" spans="1:3" x14ac:dyDescent="0.25">
      <c r="A9155" s="12" t="str">
        <f>("27-74735")</f>
        <v>27-74735</v>
      </c>
      <c r="B9155" s="15" t="s">
        <v>13979</v>
      </c>
      <c r="C9155" s="32">
        <v>620</v>
      </c>
    </row>
    <row r="9156" spans="1:3" x14ac:dyDescent="0.25">
      <c r="A9156" s="12" t="str">
        <f>("27-74745")</f>
        <v>27-74745</v>
      </c>
      <c r="B9156" s="15" t="s">
        <v>13980</v>
      </c>
      <c r="C9156" s="32">
        <v>657.5</v>
      </c>
    </row>
    <row r="9157" spans="1:3" x14ac:dyDescent="0.25">
      <c r="A9157" s="12" t="str">
        <f>("27-74755")</f>
        <v>27-74755</v>
      </c>
      <c r="B9157" s="15" t="s">
        <v>13981</v>
      </c>
      <c r="C9157" s="32">
        <v>657.5</v>
      </c>
    </row>
    <row r="9158" spans="1:3" x14ac:dyDescent="0.25">
      <c r="A9158" s="12" t="str">
        <f>("27-74765")</f>
        <v>27-74765</v>
      </c>
      <c r="B9158" s="15" t="s">
        <v>13982</v>
      </c>
      <c r="C9158" s="32">
        <v>620</v>
      </c>
    </row>
    <row r="9159" spans="1:3" x14ac:dyDescent="0.25">
      <c r="A9159" s="12" t="str">
        <f>("27-74775")</f>
        <v>27-74775</v>
      </c>
      <c r="B9159" s="15" t="s">
        <v>13983</v>
      </c>
      <c r="C9159" s="32">
        <v>257.5</v>
      </c>
    </row>
    <row r="9160" spans="1:3" x14ac:dyDescent="0.25">
      <c r="A9160" s="12" t="str">
        <f>("27-80005")</f>
        <v>27-80005</v>
      </c>
      <c r="B9160" s="15" t="s">
        <v>13984</v>
      </c>
      <c r="C9160" s="32">
        <v>890</v>
      </c>
    </row>
    <row r="9161" spans="1:3" x14ac:dyDescent="0.25">
      <c r="A9161" s="12" t="str">
        <f>("27-80015")</f>
        <v>27-80015</v>
      </c>
      <c r="B9161" s="15" t="s">
        <v>13985</v>
      </c>
      <c r="C9161" s="32">
        <v>426.25</v>
      </c>
    </row>
    <row r="9162" spans="1:3" x14ac:dyDescent="0.25">
      <c r="A9162" s="12" t="str">
        <f>("27-80035")</f>
        <v>27-80035</v>
      </c>
      <c r="B9162" s="15" t="s">
        <v>13986</v>
      </c>
      <c r="C9162" s="32">
        <v>851.25</v>
      </c>
    </row>
    <row r="9163" spans="1:3" x14ac:dyDescent="0.25">
      <c r="A9163" s="12" t="str">
        <f>("27-80055")</f>
        <v>27-80055</v>
      </c>
      <c r="B9163" s="15" t="s">
        <v>13987</v>
      </c>
      <c r="C9163" s="32">
        <v>257.5</v>
      </c>
    </row>
    <row r="9164" spans="1:3" x14ac:dyDescent="0.25">
      <c r="A9164" s="12" t="str">
        <f>("27-80065")</f>
        <v>27-80065</v>
      </c>
      <c r="B9164" s="15" t="s">
        <v>13988</v>
      </c>
      <c r="C9164" s="32">
        <v>257.5</v>
      </c>
    </row>
    <row r="9165" spans="1:3" x14ac:dyDescent="0.25">
      <c r="A9165" s="12" t="str">
        <f>("27-80075")</f>
        <v>27-80075</v>
      </c>
      <c r="B9165" s="15" t="s">
        <v>13989</v>
      </c>
      <c r="C9165" s="32">
        <v>890</v>
      </c>
    </row>
    <row r="9166" spans="1:3" x14ac:dyDescent="0.25">
      <c r="A9166" s="12" t="str">
        <f>("27-80085")</f>
        <v>27-80085</v>
      </c>
      <c r="B9166" s="15" t="s">
        <v>13990</v>
      </c>
      <c r="C9166" s="32">
        <v>610</v>
      </c>
    </row>
    <row r="9167" spans="1:3" x14ac:dyDescent="0.25">
      <c r="A9167" s="12" t="str">
        <f>("27-80095")</f>
        <v>27-80095</v>
      </c>
      <c r="B9167" s="15" t="s">
        <v>13991</v>
      </c>
      <c r="C9167" s="32">
        <v>257.5</v>
      </c>
    </row>
    <row r="9168" spans="1:3" x14ac:dyDescent="0.25">
      <c r="A9168" s="12" t="str">
        <f>("27-80105")</f>
        <v>27-80105</v>
      </c>
      <c r="B9168" s="15" t="s">
        <v>13983</v>
      </c>
      <c r="C9168" s="32">
        <v>257.5</v>
      </c>
    </row>
    <row r="9169" spans="1:3" x14ac:dyDescent="0.25">
      <c r="A9169" s="12" t="str">
        <f>("27-81005")</f>
        <v>27-81005</v>
      </c>
      <c r="B9169" s="15" t="s">
        <v>13992</v>
      </c>
      <c r="C9169" s="32">
        <v>608.75</v>
      </c>
    </row>
    <row r="9170" spans="1:3" x14ac:dyDescent="0.25">
      <c r="A9170" s="12" t="str">
        <f>("27-81015")</f>
        <v>27-81015</v>
      </c>
      <c r="B9170" s="15" t="s">
        <v>13993</v>
      </c>
      <c r="C9170" s="32">
        <v>256.25</v>
      </c>
    </row>
    <row r="9171" spans="1:3" x14ac:dyDescent="0.25">
      <c r="A9171" s="12" t="str">
        <f>("27-81025")</f>
        <v>27-81025</v>
      </c>
      <c r="B9171" s="15" t="s">
        <v>13994</v>
      </c>
      <c r="C9171" s="32">
        <v>610</v>
      </c>
    </row>
    <row r="9172" spans="1:3" x14ac:dyDescent="0.25">
      <c r="A9172" s="12" t="str">
        <f>("K27-61102205")</f>
        <v>K27-61102205</v>
      </c>
      <c r="B9172" s="15" t="s">
        <v>13995</v>
      </c>
      <c r="C9172" s="32">
        <v>798.75</v>
      </c>
    </row>
    <row r="9173" spans="1:3" x14ac:dyDescent="0.25">
      <c r="A9173" s="12" t="str">
        <f>("K27-61302205")</f>
        <v>K27-61302205</v>
      </c>
      <c r="B9173" s="15" t="s">
        <v>13996</v>
      </c>
      <c r="C9173" s="32">
        <v>891.25</v>
      </c>
    </row>
    <row r="9174" spans="1:3" ht="31.5" x14ac:dyDescent="0.25">
      <c r="A9174" s="12" t="str">
        <f>("K27-61302255")</f>
        <v>K27-61302255</v>
      </c>
      <c r="B9174" s="15" t="s">
        <v>13997</v>
      </c>
      <c r="C9174" s="32">
        <v>885</v>
      </c>
    </row>
    <row r="9175" spans="1:3" x14ac:dyDescent="0.25">
      <c r="A9175" s="12" t="str">
        <f>("K27-61402195")</f>
        <v>K27-61402195</v>
      </c>
      <c r="B9175" s="15" t="s">
        <v>13998</v>
      </c>
      <c r="C9175" s="32">
        <v>1006.25</v>
      </c>
    </row>
    <row r="9176" spans="1:3" x14ac:dyDescent="0.25">
      <c r="A9176" s="12" t="str">
        <f>("K27-61502255")</f>
        <v>K27-61502255</v>
      </c>
      <c r="B9176" s="15" t="s">
        <v>13999</v>
      </c>
      <c r="C9176" s="32">
        <v>915</v>
      </c>
    </row>
    <row r="9177" spans="1:3" x14ac:dyDescent="0.25">
      <c r="A9177" s="12" t="str">
        <f>("K27-66002175")</f>
        <v>K27-66002175</v>
      </c>
      <c r="B9177" s="15" t="s">
        <v>14000</v>
      </c>
      <c r="C9177" s="32">
        <v>678.75</v>
      </c>
    </row>
    <row r="9178" spans="1:3" x14ac:dyDescent="0.25">
      <c r="A9178" s="12" t="str">
        <f>("K27-66102205")</f>
        <v>K27-66102205</v>
      </c>
      <c r="B9178" s="15" t="s">
        <v>13995</v>
      </c>
      <c r="C9178" s="32">
        <v>798.75</v>
      </c>
    </row>
    <row r="9179" spans="1:3" x14ac:dyDescent="0.25">
      <c r="A9179" s="12" t="str">
        <f>("K27-66302175")</f>
        <v>K27-66302175</v>
      </c>
      <c r="B9179" s="15" t="s">
        <v>14001</v>
      </c>
      <c r="C9179" s="32">
        <v>891.25</v>
      </c>
    </row>
    <row r="9180" spans="1:3" x14ac:dyDescent="0.25">
      <c r="A9180" s="12" t="str">
        <f>("K27-66302205")</f>
        <v>K27-66302205</v>
      </c>
      <c r="B9180" s="15" t="s">
        <v>13996</v>
      </c>
      <c r="C9180" s="32">
        <v>891.25</v>
      </c>
    </row>
    <row r="9181" spans="1:3" ht="31.5" x14ac:dyDescent="0.25">
      <c r="A9181" s="12" t="str">
        <f>("K27-66302255")</f>
        <v>K27-66302255</v>
      </c>
      <c r="B9181" s="15" t="s">
        <v>13997</v>
      </c>
      <c r="C9181" s="32">
        <v>885</v>
      </c>
    </row>
    <row r="9182" spans="1:3" x14ac:dyDescent="0.25">
      <c r="A9182" s="12" t="str">
        <f>("K27-66402195")</f>
        <v>K27-66402195</v>
      </c>
      <c r="B9182" s="15" t="s">
        <v>13998</v>
      </c>
      <c r="C9182" s="32">
        <v>1006.25</v>
      </c>
    </row>
    <row r="9183" spans="1:3" x14ac:dyDescent="0.25">
      <c r="A9183" s="12" t="str">
        <f>("K27-66502255")</f>
        <v>K27-66502255</v>
      </c>
      <c r="B9183" s="15" t="s">
        <v>13999</v>
      </c>
      <c r="C9183" s="32">
        <v>915</v>
      </c>
    </row>
    <row r="9184" spans="1:3" x14ac:dyDescent="0.25">
      <c r="A9184" s="12" t="str">
        <f>("27-6000")</f>
        <v>27-6000</v>
      </c>
      <c r="B9184" s="15" t="s">
        <v>14002</v>
      </c>
      <c r="C9184" s="32">
        <v>156.25</v>
      </c>
    </row>
    <row r="9185" spans="1:3" x14ac:dyDescent="0.25">
      <c r="A9185" s="12" t="str">
        <f>("27-9901")</f>
        <v>27-9901</v>
      </c>
      <c r="B9185" s="15" t="s">
        <v>14003</v>
      </c>
      <c r="C9185" s="32">
        <v>71.25</v>
      </c>
    </row>
    <row r="9186" spans="1:3" x14ac:dyDescent="0.25">
      <c r="A9186" s="12" t="str">
        <f>("27-9902")</f>
        <v>27-9902</v>
      </c>
      <c r="B9186" s="15" t="s">
        <v>14004</v>
      </c>
      <c r="C9186" s="32">
        <v>155</v>
      </c>
    </row>
    <row r="9187" spans="1:3" x14ac:dyDescent="0.25">
      <c r="A9187" s="12" t="str">
        <f>("27-9903")</f>
        <v>27-9903</v>
      </c>
      <c r="B9187" s="15" t="s">
        <v>14005</v>
      </c>
      <c r="C9187" s="32">
        <v>195</v>
      </c>
    </row>
    <row r="9188" spans="1:3" x14ac:dyDescent="0.25">
      <c r="A9188" s="12" t="str">
        <f>("27-9904")</f>
        <v>27-9904</v>
      </c>
      <c r="B9188" s="15" t="s">
        <v>14006</v>
      </c>
      <c r="C9188" s="32">
        <v>65</v>
      </c>
    </row>
    <row r="9189" spans="1:3" x14ac:dyDescent="0.25">
      <c r="A9189" s="12" t="str">
        <f>("27-9905")</f>
        <v>27-9905</v>
      </c>
      <c r="B9189" s="15" t="s">
        <v>14007</v>
      </c>
      <c r="C9189" s="32">
        <v>131.25</v>
      </c>
    </row>
    <row r="9190" spans="1:3" x14ac:dyDescent="0.25">
      <c r="A9190" s="12" t="str">
        <f>("27-9907")</f>
        <v>27-9907</v>
      </c>
      <c r="B9190" s="15" t="s">
        <v>14008</v>
      </c>
      <c r="C9190" s="32">
        <v>75</v>
      </c>
    </row>
    <row r="9191" spans="1:3" x14ac:dyDescent="0.25">
      <c r="A9191" s="12" t="str">
        <f>("27-0000")</f>
        <v>27-0000</v>
      </c>
      <c r="B9191" s="15" t="s">
        <v>14009</v>
      </c>
      <c r="C9191" s="32">
        <v>531.25</v>
      </c>
    </row>
    <row r="9192" spans="1:3" x14ac:dyDescent="0.25">
      <c r="A9192" s="12" t="str">
        <f>("27-0005")</f>
        <v>27-0005</v>
      </c>
      <c r="B9192" s="15" t="s">
        <v>14010</v>
      </c>
      <c r="C9192" s="32">
        <v>613.75</v>
      </c>
    </row>
    <row r="9193" spans="1:3" x14ac:dyDescent="0.25">
      <c r="A9193" s="12" t="str">
        <f>("27-0010")</f>
        <v>27-0010</v>
      </c>
      <c r="B9193" s="15" t="s">
        <v>14011</v>
      </c>
      <c r="C9193" s="32">
        <v>542.5</v>
      </c>
    </row>
    <row r="9194" spans="1:3" x14ac:dyDescent="0.25">
      <c r="A9194" s="12" t="str">
        <f>("27-0015")</f>
        <v>27-0015</v>
      </c>
      <c r="B9194" s="15" t="s">
        <v>14012</v>
      </c>
      <c r="C9194" s="32">
        <v>628.75</v>
      </c>
    </row>
    <row r="9195" spans="1:3" x14ac:dyDescent="0.25">
      <c r="A9195" s="12" t="str">
        <f>("27-0020")</f>
        <v>27-0020</v>
      </c>
      <c r="B9195" s="15" t="s">
        <v>14013</v>
      </c>
      <c r="C9195" s="32">
        <v>555</v>
      </c>
    </row>
    <row r="9196" spans="1:3" x14ac:dyDescent="0.25">
      <c r="A9196" s="12" t="str">
        <f>("27-0025")</f>
        <v>27-0025</v>
      </c>
      <c r="B9196" s="15" t="s">
        <v>14014</v>
      </c>
      <c r="C9196" s="32">
        <v>687.5</v>
      </c>
    </row>
    <row r="9197" spans="1:3" x14ac:dyDescent="0.25">
      <c r="A9197" s="12" t="str">
        <f>("27-1005")</f>
        <v>27-1005</v>
      </c>
      <c r="B9197" s="15" t="s">
        <v>14015</v>
      </c>
      <c r="C9197" s="32">
        <v>201.25</v>
      </c>
    </row>
    <row r="9198" spans="1:3" x14ac:dyDescent="0.25">
      <c r="A9198" s="12" t="str">
        <f>("27-1015")</f>
        <v>27-1015</v>
      </c>
      <c r="B9198" s="15" t="s">
        <v>14016</v>
      </c>
      <c r="C9198" s="32">
        <v>201.25</v>
      </c>
    </row>
    <row r="9199" spans="1:3" x14ac:dyDescent="0.25">
      <c r="A9199" s="12" t="str">
        <f>("27-1025")</f>
        <v>27-1025</v>
      </c>
      <c r="B9199" s="15" t="s">
        <v>14017</v>
      </c>
      <c r="C9199" s="32">
        <v>201.25</v>
      </c>
    </row>
    <row r="9200" spans="1:3" x14ac:dyDescent="0.25">
      <c r="A9200" s="12" t="str">
        <f>("27-1035")</f>
        <v>27-1035</v>
      </c>
      <c r="B9200" s="15" t="s">
        <v>14018</v>
      </c>
      <c r="C9200" s="32">
        <v>201.25</v>
      </c>
    </row>
    <row r="9201" spans="1:3" x14ac:dyDescent="0.25">
      <c r="A9201" s="12" t="str">
        <f>("27-1045")</f>
        <v>27-1045</v>
      </c>
      <c r="B9201" s="15" t="s">
        <v>14019</v>
      </c>
      <c r="C9201" s="32">
        <v>201.25</v>
      </c>
    </row>
    <row r="9202" spans="1:3" x14ac:dyDescent="0.25">
      <c r="A9202" s="12" t="str">
        <f>("27-1085")</f>
        <v>27-1085</v>
      </c>
      <c r="B9202" s="15" t="s">
        <v>14020</v>
      </c>
      <c r="C9202" s="32">
        <v>201.25</v>
      </c>
    </row>
    <row r="9203" spans="1:3" ht="31.5" x14ac:dyDescent="0.25">
      <c r="A9203" s="12" t="str">
        <f>("27-1105")</f>
        <v>27-1105</v>
      </c>
      <c r="B9203" s="15" t="s">
        <v>14021</v>
      </c>
      <c r="C9203" s="32">
        <v>201.25</v>
      </c>
    </row>
    <row r="9204" spans="1:3" x14ac:dyDescent="0.25">
      <c r="A9204" s="12" t="str">
        <f>("27-1115")</f>
        <v>27-1115</v>
      </c>
      <c r="B9204" s="15" t="s">
        <v>14022</v>
      </c>
      <c r="C9204" s="32">
        <v>201.25</v>
      </c>
    </row>
    <row r="9205" spans="1:3" x14ac:dyDescent="0.25">
      <c r="A9205" s="12" t="str">
        <f>("27-1145")</f>
        <v>27-1145</v>
      </c>
      <c r="B9205" s="15" t="s">
        <v>14023</v>
      </c>
      <c r="C9205" s="32">
        <v>201.25</v>
      </c>
    </row>
    <row r="9206" spans="1:3" x14ac:dyDescent="0.25">
      <c r="A9206" s="12" t="str">
        <f>("27-1155")</f>
        <v>27-1155</v>
      </c>
      <c r="B9206" s="15" t="s">
        <v>13919</v>
      </c>
      <c r="C9206" s="32">
        <v>201.25</v>
      </c>
    </row>
    <row r="9207" spans="1:3" x14ac:dyDescent="0.25">
      <c r="A9207" s="12" t="str">
        <f>("27-1185")</f>
        <v>27-1185</v>
      </c>
      <c r="B9207" s="15" t="s">
        <v>14024</v>
      </c>
      <c r="C9207" s="32">
        <v>201.25</v>
      </c>
    </row>
    <row r="9208" spans="1:3" x14ac:dyDescent="0.25">
      <c r="A9208" s="12" t="str">
        <f>("27-1205")</f>
        <v>27-1205</v>
      </c>
      <c r="B9208" s="15" t="s">
        <v>14025</v>
      </c>
      <c r="C9208" s="32">
        <v>201.25</v>
      </c>
    </row>
    <row r="9209" spans="1:3" x14ac:dyDescent="0.25">
      <c r="A9209" s="12" t="str">
        <f>("27-1215")</f>
        <v>27-1215</v>
      </c>
      <c r="B9209" s="15" t="s">
        <v>14026</v>
      </c>
      <c r="C9209" s="32">
        <v>242.5</v>
      </c>
    </row>
    <row r="9210" spans="1:3" x14ac:dyDescent="0.25">
      <c r="A9210" s="12" t="str">
        <f>("27-1265")</f>
        <v>27-1265</v>
      </c>
      <c r="B9210" s="15" t="s">
        <v>14027</v>
      </c>
      <c r="C9210" s="32">
        <v>201.25</v>
      </c>
    </row>
    <row r="9211" spans="1:3" x14ac:dyDescent="0.25">
      <c r="A9211" s="12" t="str">
        <f>("27-1285")</f>
        <v>27-1285</v>
      </c>
      <c r="B9211" s="15" t="s">
        <v>14028</v>
      </c>
      <c r="C9211" s="32">
        <v>201.25</v>
      </c>
    </row>
    <row r="9212" spans="1:3" x14ac:dyDescent="0.25">
      <c r="A9212" s="12" t="str">
        <f>("27-1325")</f>
        <v>27-1325</v>
      </c>
      <c r="B9212" s="15" t="s">
        <v>14029</v>
      </c>
      <c r="C9212" s="32">
        <v>242.5</v>
      </c>
    </row>
    <row r="9213" spans="1:3" x14ac:dyDescent="0.25">
      <c r="A9213" s="12" t="str">
        <f>("27-1345")</f>
        <v>27-1345</v>
      </c>
      <c r="B9213" s="15" t="s">
        <v>14030</v>
      </c>
      <c r="C9213" s="32">
        <v>201.25</v>
      </c>
    </row>
    <row r="9214" spans="1:3" x14ac:dyDescent="0.25">
      <c r="A9214" s="12" t="str">
        <f>("27-1355")</f>
        <v>27-1355</v>
      </c>
      <c r="B9214" s="15" t="s">
        <v>14031</v>
      </c>
      <c r="C9214" s="32">
        <v>201.25</v>
      </c>
    </row>
    <row r="9215" spans="1:3" x14ac:dyDescent="0.25">
      <c r="A9215" s="12" t="str">
        <f>("27-1365")</f>
        <v>27-1365</v>
      </c>
      <c r="B9215" s="15" t="s">
        <v>14032</v>
      </c>
      <c r="C9215" s="32">
        <v>201.25</v>
      </c>
    </row>
    <row r="9216" spans="1:3" x14ac:dyDescent="0.25">
      <c r="A9216" s="12" t="str">
        <f>("27-1375")</f>
        <v>27-1375</v>
      </c>
      <c r="B9216" s="15" t="s">
        <v>13762</v>
      </c>
      <c r="C9216" s="32">
        <v>201.25</v>
      </c>
    </row>
    <row r="9217" spans="1:3" x14ac:dyDescent="0.25">
      <c r="A9217" s="12" t="str">
        <f>("27-1435")</f>
        <v>27-1435</v>
      </c>
      <c r="B9217" s="15" t="s">
        <v>14033</v>
      </c>
      <c r="C9217" s="32">
        <v>201.25</v>
      </c>
    </row>
    <row r="9218" spans="1:3" x14ac:dyDescent="0.25">
      <c r="A9218" s="12" t="str">
        <f>("27-1445")</f>
        <v>27-1445</v>
      </c>
      <c r="B9218" s="15" t="s">
        <v>14034</v>
      </c>
      <c r="C9218" s="32">
        <v>201.25</v>
      </c>
    </row>
    <row r="9219" spans="1:3" x14ac:dyDescent="0.25">
      <c r="A9219" s="12" t="str">
        <f>("27-1455")</f>
        <v>27-1455</v>
      </c>
      <c r="B9219" s="15" t="s">
        <v>14035</v>
      </c>
      <c r="C9219" s="32">
        <v>201.25</v>
      </c>
    </row>
    <row r="9220" spans="1:3" x14ac:dyDescent="0.25">
      <c r="A9220" s="12" t="str">
        <f>("27-1505")</f>
        <v>27-1505</v>
      </c>
      <c r="B9220" s="15" t="s">
        <v>14036</v>
      </c>
      <c r="C9220" s="32">
        <v>242.5</v>
      </c>
    </row>
    <row r="9221" spans="1:3" x14ac:dyDescent="0.25">
      <c r="A9221" s="12" t="str">
        <f>("27-1525")</f>
        <v>27-1525</v>
      </c>
      <c r="B9221" s="15" t="s">
        <v>14037</v>
      </c>
      <c r="C9221" s="32">
        <v>242.5</v>
      </c>
    </row>
    <row r="9222" spans="1:3" x14ac:dyDescent="0.25">
      <c r="A9222" s="12" t="str">
        <f>("27-1535")</f>
        <v>27-1535</v>
      </c>
      <c r="B9222" s="15" t="s">
        <v>14038</v>
      </c>
      <c r="C9222" s="32">
        <v>242.5</v>
      </c>
    </row>
    <row r="9223" spans="1:3" x14ac:dyDescent="0.25">
      <c r="A9223" s="12" t="str">
        <f>("27-1545")</f>
        <v>27-1545</v>
      </c>
      <c r="B9223" s="15" t="s">
        <v>14039</v>
      </c>
      <c r="C9223" s="32">
        <v>242.5</v>
      </c>
    </row>
    <row r="9224" spans="1:3" x14ac:dyDescent="0.25">
      <c r="A9224" s="12" t="str">
        <f>("27-1565")</f>
        <v>27-1565</v>
      </c>
      <c r="B9224" s="15" t="s">
        <v>14040</v>
      </c>
      <c r="C9224" s="32">
        <v>242.5</v>
      </c>
    </row>
    <row r="9225" spans="1:3" x14ac:dyDescent="0.25">
      <c r="A9225" s="12" t="str">
        <f>("27-1595")</f>
        <v>27-1595</v>
      </c>
      <c r="B9225" s="15" t="s">
        <v>14041</v>
      </c>
      <c r="C9225" s="32">
        <v>242.5</v>
      </c>
    </row>
    <row r="9226" spans="1:3" x14ac:dyDescent="0.25">
      <c r="A9226" s="12" t="str">
        <f>("27-1605")</f>
        <v>27-1605</v>
      </c>
      <c r="B9226" s="15" t="s">
        <v>13955</v>
      </c>
      <c r="C9226" s="32">
        <v>242.5</v>
      </c>
    </row>
    <row r="9227" spans="1:3" x14ac:dyDescent="0.25">
      <c r="A9227" s="12" t="str">
        <f>("27-1615")</f>
        <v>27-1615</v>
      </c>
      <c r="B9227" s="15" t="s">
        <v>13875</v>
      </c>
      <c r="C9227" s="32">
        <v>242.5</v>
      </c>
    </row>
    <row r="9228" spans="1:3" x14ac:dyDescent="0.25">
      <c r="A9228" s="12" t="str">
        <f>("27-1625")</f>
        <v>27-1625</v>
      </c>
      <c r="B9228" s="15" t="s">
        <v>13937</v>
      </c>
      <c r="C9228" s="32">
        <v>242.5</v>
      </c>
    </row>
    <row r="9229" spans="1:3" x14ac:dyDescent="0.25">
      <c r="A9229" s="12" t="str">
        <f>("27-1635")</f>
        <v>27-1635</v>
      </c>
      <c r="B9229" s="15" t="s">
        <v>14042</v>
      </c>
      <c r="C9229" s="32">
        <v>242.5</v>
      </c>
    </row>
    <row r="9230" spans="1:3" x14ac:dyDescent="0.25">
      <c r="A9230" s="12" t="str">
        <f>("27-1645")</f>
        <v>27-1645</v>
      </c>
      <c r="B9230" s="15" t="s">
        <v>14043</v>
      </c>
      <c r="C9230" s="32">
        <v>242.5</v>
      </c>
    </row>
    <row r="9231" spans="1:3" x14ac:dyDescent="0.25">
      <c r="A9231" s="12" t="str">
        <f>("27-1675")</f>
        <v>27-1675</v>
      </c>
      <c r="B9231" s="15" t="s">
        <v>14044</v>
      </c>
      <c r="C9231" s="32">
        <v>242.5</v>
      </c>
    </row>
    <row r="9232" spans="1:3" x14ac:dyDescent="0.25">
      <c r="A9232" s="12" t="str">
        <f>("27-1725")</f>
        <v>27-1725</v>
      </c>
      <c r="B9232" s="15" t="s">
        <v>13882</v>
      </c>
      <c r="C9232" s="32">
        <v>242.5</v>
      </c>
    </row>
    <row r="9233" spans="1:3" x14ac:dyDescent="0.25">
      <c r="A9233" s="12" t="str">
        <f>("27-1735")</f>
        <v>27-1735</v>
      </c>
      <c r="B9233" s="15" t="s">
        <v>14045</v>
      </c>
      <c r="C9233" s="32">
        <v>242.5</v>
      </c>
    </row>
    <row r="9234" spans="1:3" x14ac:dyDescent="0.25">
      <c r="A9234" s="12" t="str">
        <f>("27-1745")</f>
        <v>27-1745</v>
      </c>
      <c r="B9234" s="15" t="s">
        <v>14046</v>
      </c>
      <c r="C9234" s="32">
        <v>242.5</v>
      </c>
    </row>
    <row r="9235" spans="1:3" x14ac:dyDescent="0.25">
      <c r="A9235" s="12" t="str">
        <f>("27-1755")</f>
        <v>27-1755</v>
      </c>
      <c r="B9235" s="15" t="s">
        <v>14047</v>
      </c>
      <c r="C9235" s="32">
        <v>242.5</v>
      </c>
    </row>
    <row r="9236" spans="1:3" x14ac:dyDescent="0.25">
      <c r="A9236" s="12" t="str">
        <f>("27-1775")</f>
        <v>27-1775</v>
      </c>
      <c r="B9236" s="15" t="s">
        <v>13883</v>
      </c>
      <c r="C9236" s="32">
        <v>242.5</v>
      </c>
    </row>
    <row r="9237" spans="1:3" x14ac:dyDescent="0.25">
      <c r="A9237" s="12" t="str">
        <f>("27-1785")</f>
        <v>27-1785</v>
      </c>
      <c r="B9237" s="15" t="s">
        <v>14048</v>
      </c>
      <c r="C9237" s="32">
        <v>242.5</v>
      </c>
    </row>
    <row r="9238" spans="1:3" x14ac:dyDescent="0.25">
      <c r="A9238" s="12" t="str">
        <f>("27-1795")</f>
        <v>27-1795</v>
      </c>
      <c r="B9238" s="15" t="s">
        <v>14049</v>
      </c>
      <c r="C9238" s="32">
        <v>242.5</v>
      </c>
    </row>
    <row r="9239" spans="1:3" x14ac:dyDescent="0.25">
      <c r="A9239" s="12" t="str">
        <f>("27-1815")</f>
        <v>27-1815</v>
      </c>
      <c r="B9239" s="15" t="s">
        <v>14050</v>
      </c>
      <c r="C9239" s="32">
        <v>242.5</v>
      </c>
    </row>
    <row r="9240" spans="1:3" x14ac:dyDescent="0.25">
      <c r="A9240" s="12" t="str">
        <f>("27-1825")</f>
        <v>27-1825</v>
      </c>
      <c r="B9240" s="15" t="s">
        <v>14051</v>
      </c>
      <c r="C9240" s="32">
        <v>242.5</v>
      </c>
    </row>
    <row r="9241" spans="1:3" x14ac:dyDescent="0.25">
      <c r="A9241" s="12" t="str">
        <f>("27-1835")</f>
        <v>27-1835</v>
      </c>
      <c r="B9241" s="15" t="s">
        <v>14052</v>
      </c>
      <c r="C9241" s="32">
        <v>242.5</v>
      </c>
    </row>
    <row r="9242" spans="1:3" x14ac:dyDescent="0.25">
      <c r="A9242" s="12" t="str">
        <f>("27-1845")</f>
        <v>27-1845</v>
      </c>
      <c r="B9242" s="15" t="s">
        <v>14053</v>
      </c>
      <c r="C9242" s="32">
        <v>242.5</v>
      </c>
    </row>
    <row r="9243" spans="1:3" x14ac:dyDescent="0.25">
      <c r="A9243" s="12" t="str">
        <f>("27-1855")</f>
        <v>27-1855</v>
      </c>
      <c r="B9243" s="15" t="s">
        <v>13887</v>
      </c>
      <c r="C9243" s="32">
        <v>242.5</v>
      </c>
    </row>
    <row r="9244" spans="1:3" x14ac:dyDescent="0.25">
      <c r="A9244" s="12" t="str">
        <f>("27-1875")</f>
        <v>27-1875</v>
      </c>
      <c r="B9244" s="15" t="s">
        <v>14054</v>
      </c>
      <c r="C9244" s="32">
        <v>242.5</v>
      </c>
    </row>
    <row r="9245" spans="1:3" x14ac:dyDescent="0.25">
      <c r="A9245" s="12" t="str">
        <f>("27-1885")</f>
        <v>27-1885</v>
      </c>
      <c r="B9245" s="15" t="s">
        <v>13770</v>
      </c>
      <c r="C9245" s="32">
        <v>242.5</v>
      </c>
    </row>
    <row r="9246" spans="1:3" x14ac:dyDescent="0.25">
      <c r="A9246" s="12" t="str">
        <f>("27-1895")</f>
        <v>27-1895</v>
      </c>
      <c r="B9246" s="15" t="s">
        <v>14055</v>
      </c>
      <c r="C9246" s="32">
        <v>242.5</v>
      </c>
    </row>
    <row r="9247" spans="1:3" x14ac:dyDescent="0.25">
      <c r="A9247" s="12" t="str">
        <f>("27-1905")</f>
        <v>27-1905</v>
      </c>
      <c r="B9247" s="15" t="s">
        <v>14056</v>
      </c>
      <c r="C9247" s="32">
        <v>242.5</v>
      </c>
    </row>
    <row r="9248" spans="1:3" x14ac:dyDescent="0.25">
      <c r="A9248" s="12" t="str">
        <f>("27-1945")</f>
        <v>27-1945</v>
      </c>
      <c r="B9248" s="15" t="s">
        <v>14057</v>
      </c>
      <c r="C9248" s="32">
        <v>242.5</v>
      </c>
    </row>
    <row r="9249" spans="1:3" x14ac:dyDescent="0.25">
      <c r="A9249" s="12" t="str">
        <f>("27-1965")</f>
        <v>27-1965</v>
      </c>
      <c r="B9249" s="15" t="s">
        <v>14058</v>
      </c>
      <c r="C9249" s="32">
        <v>242.5</v>
      </c>
    </row>
    <row r="9250" spans="1:3" x14ac:dyDescent="0.25">
      <c r="A9250" s="12" t="str">
        <f>("27-1975")</f>
        <v>27-1975</v>
      </c>
      <c r="B9250" s="15" t="s">
        <v>13892</v>
      </c>
      <c r="C9250" s="32">
        <v>242.5</v>
      </c>
    </row>
    <row r="9251" spans="1:3" x14ac:dyDescent="0.25">
      <c r="A9251" s="12" t="str">
        <f>("27-1985")</f>
        <v>27-1985</v>
      </c>
      <c r="B9251" s="15" t="s">
        <v>14059</v>
      </c>
      <c r="C9251" s="32">
        <v>242.5</v>
      </c>
    </row>
    <row r="9252" spans="1:3" x14ac:dyDescent="0.25">
      <c r="A9252" s="12" t="str">
        <f>("27-2135")</f>
        <v>27-2135</v>
      </c>
      <c r="B9252" s="15" t="s">
        <v>14060</v>
      </c>
      <c r="C9252" s="32">
        <v>235</v>
      </c>
    </row>
    <row r="9253" spans="1:3" ht="31.5" x14ac:dyDescent="0.25">
      <c r="A9253" s="12" t="str">
        <f>("27-2145")</f>
        <v>27-2145</v>
      </c>
      <c r="B9253" s="15" t="s">
        <v>14061</v>
      </c>
      <c r="C9253" s="32">
        <v>235</v>
      </c>
    </row>
    <row r="9254" spans="1:3" x14ac:dyDescent="0.25">
      <c r="A9254" s="12" t="str">
        <f>("27-2165")</f>
        <v>27-2165</v>
      </c>
      <c r="B9254" s="15" t="s">
        <v>14062</v>
      </c>
      <c r="C9254" s="32">
        <v>242.5</v>
      </c>
    </row>
    <row r="9255" spans="1:3" x14ac:dyDescent="0.25">
      <c r="A9255" s="12" t="str">
        <f>("27-2175")</f>
        <v>27-2175</v>
      </c>
      <c r="B9255" s="15" t="s">
        <v>14063</v>
      </c>
      <c r="C9255" s="32">
        <v>242.5</v>
      </c>
    </row>
    <row r="9256" spans="1:3" x14ac:dyDescent="0.25">
      <c r="A9256" s="12" t="str">
        <f>("27-2195")</f>
        <v>27-2195</v>
      </c>
      <c r="B9256" s="15" t="s">
        <v>13724</v>
      </c>
      <c r="C9256" s="32">
        <v>242.5</v>
      </c>
    </row>
    <row r="9257" spans="1:3" x14ac:dyDescent="0.25">
      <c r="A9257" s="12" t="str">
        <f>("27-2205")</f>
        <v>27-2205</v>
      </c>
      <c r="B9257" s="15" t="s">
        <v>14064</v>
      </c>
      <c r="C9257" s="32">
        <v>242.5</v>
      </c>
    </row>
    <row r="9258" spans="1:3" x14ac:dyDescent="0.25">
      <c r="A9258" s="12" t="str">
        <f>("27-2245")</f>
        <v>27-2245</v>
      </c>
      <c r="B9258" s="15" t="s">
        <v>14065</v>
      </c>
      <c r="C9258" s="32">
        <v>235</v>
      </c>
    </row>
    <row r="9259" spans="1:3" ht="31.5" x14ac:dyDescent="0.25">
      <c r="A9259" s="12" t="str">
        <f>("27-2255")</f>
        <v>27-2255</v>
      </c>
      <c r="B9259" s="15" t="s">
        <v>13896</v>
      </c>
      <c r="C9259" s="32">
        <v>235</v>
      </c>
    </row>
    <row r="9260" spans="1:3" x14ac:dyDescent="0.25">
      <c r="A9260" s="12" t="str">
        <f>("27-2265")</f>
        <v>27-2265</v>
      </c>
      <c r="B9260" s="15" t="s">
        <v>13897</v>
      </c>
      <c r="C9260" s="32">
        <v>235</v>
      </c>
    </row>
    <row r="9261" spans="1:3" x14ac:dyDescent="0.25">
      <c r="A9261" s="12" t="str">
        <f>("27-2275")</f>
        <v>27-2275</v>
      </c>
      <c r="B9261" s="15" t="s">
        <v>14066</v>
      </c>
      <c r="C9261" s="32">
        <v>235</v>
      </c>
    </row>
    <row r="9262" spans="1:3" x14ac:dyDescent="0.25">
      <c r="A9262" s="12" t="str">
        <f>("27-2285")</f>
        <v>27-2285</v>
      </c>
      <c r="B9262" s="15" t="s">
        <v>13804</v>
      </c>
      <c r="C9262" s="32">
        <v>235</v>
      </c>
    </row>
    <row r="9263" spans="1:3" x14ac:dyDescent="0.25">
      <c r="A9263" s="12" t="str">
        <f>("27-2295")</f>
        <v>27-2295</v>
      </c>
      <c r="B9263" s="15" t="s">
        <v>14067</v>
      </c>
      <c r="C9263" s="32">
        <v>281.25</v>
      </c>
    </row>
    <row r="9264" spans="1:3" x14ac:dyDescent="0.25">
      <c r="A9264" s="12" t="str">
        <f>("27-2305")</f>
        <v>27-2305</v>
      </c>
      <c r="B9264" s="15" t="s">
        <v>14068</v>
      </c>
      <c r="C9264" s="32">
        <v>168.75</v>
      </c>
    </row>
    <row r="9265" spans="1:3" x14ac:dyDescent="0.25">
      <c r="A9265" s="12" t="str">
        <f>("27-2315")</f>
        <v>27-2315</v>
      </c>
      <c r="B9265" s="15" t="s">
        <v>14069</v>
      </c>
      <c r="C9265" s="32">
        <v>168.75</v>
      </c>
    </row>
    <row r="9266" spans="1:3" x14ac:dyDescent="0.25">
      <c r="A9266" s="12" t="str">
        <f>("27-2325")</f>
        <v>27-2325</v>
      </c>
      <c r="B9266" s="15" t="s">
        <v>14070</v>
      </c>
      <c r="C9266" s="32">
        <v>242.5</v>
      </c>
    </row>
    <row r="9267" spans="1:3" x14ac:dyDescent="0.25">
      <c r="A9267" s="12" t="str">
        <f>("27-2335")</f>
        <v>27-2335</v>
      </c>
      <c r="B9267" s="15" t="s">
        <v>14071</v>
      </c>
      <c r="C9267" s="32">
        <v>242.5</v>
      </c>
    </row>
    <row r="9268" spans="1:3" x14ac:dyDescent="0.25">
      <c r="A9268" s="12" t="str">
        <f>("27-2345")</f>
        <v>27-2345</v>
      </c>
      <c r="B9268" s="15" t="s">
        <v>14072</v>
      </c>
      <c r="C9268" s="32">
        <v>170</v>
      </c>
    </row>
    <row r="9269" spans="1:3" x14ac:dyDescent="0.25">
      <c r="A9269" s="12" t="str">
        <f>("27-2355")</f>
        <v>27-2355</v>
      </c>
      <c r="B9269" s="15" t="s">
        <v>14073</v>
      </c>
      <c r="C9269" s="32">
        <v>170</v>
      </c>
    </row>
    <row r="9270" spans="1:3" x14ac:dyDescent="0.25">
      <c r="A9270" s="12" t="str">
        <f>("27-2365")</f>
        <v>27-2365</v>
      </c>
      <c r="B9270" s="15" t="s">
        <v>14074</v>
      </c>
      <c r="C9270" s="32">
        <v>242.5</v>
      </c>
    </row>
    <row r="9271" spans="1:3" x14ac:dyDescent="0.25">
      <c r="A9271" s="12" t="str">
        <f>("27-2375")</f>
        <v>27-2375</v>
      </c>
      <c r="B9271" s="15" t="s">
        <v>14075</v>
      </c>
      <c r="C9271" s="32">
        <v>242.5</v>
      </c>
    </row>
    <row r="9272" spans="1:3" x14ac:dyDescent="0.25">
      <c r="A9272" s="12" t="str">
        <f>("27-2385")</f>
        <v>27-2385</v>
      </c>
      <c r="B9272" s="15" t="s">
        <v>14076</v>
      </c>
      <c r="C9272" s="32">
        <v>170</v>
      </c>
    </row>
    <row r="9273" spans="1:3" x14ac:dyDescent="0.25">
      <c r="A9273" s="12" t="str">
        <f>("27-2395")</f>
        <v>27-2395</v>
      </c>
      <c r="B9273" s="15" t="s">
        <v>14077</v>
      </c>
      <c r="C9273" s="32">
        <v>170</v>
      </c>
    </row>
    <row r="9274" spans="1:3" x14ac:dyDescent="0.25">
      <c r="A9274" s="12" t="str">
        <f>("27-2425")</f>
        <v>27-2425</v>
      </c>
      <c r="B9274" s="15" t="s">
        <v>13733</v>
      </c>
      <c r="C9274" s="32">
        <v>242.5</v>
      </c>
    </row>
    <row r="9275" spans="1:3" x14ac:dyDescent="0.25">
      <c r="A9275" s="12" t="str">
        <f>("27-2435")</f>
        <v>27-2435</v>
      </c>
      <c r="B9275" s="15" t="s">
        <v>14078</v>
      </c>
      <c r="C9275" s="32">
        <v>242.5</v>
      </c>
    </row>
    <row r="9276" spans="1:3" x14ac:dyDescent="0.25">
      <c r="A9276" s="12" t="str">
        <f>("27-2445")</f>
        <v>27-2445</v>
      </c>
      <c r="B9276" s="15" t="s">
        <v>14079</v>
      </c>
      <c r="C9276" s="32">
        <v>242.5</v>
      </c>
    </row>
    <row r="9277" spans="1:3" x14ac:dyDescent="0.25">
      <c r="A9277" s="12" t="str">
        <f>("27-2455")</f>
        <v>27-2455</v>
      </c>
      <c r="B9277" s="15" t="s">
        <v>14080</v>
      </c>
      <c r="C9277" s="32">
        <v>170</v>
      </c>
    </row>
    <row r="9278" spans="1:3" x14ac:dyDescent="0.25">
      <c r="A9278" s="12" t="str">
        <f>("27-2465")</f>
        <v>27-2465</v>
      </c>
      <c r="B9278" s="15" t="s">
        <v>14081</v>
      </c>
      <c r="C9278" s="32">
        <v>170</v>
      </c>
    </row>
    <row r="9279" spans="1:3" x14ac:dyDescent="0.25">
      <c r="A9279" s="12" t="str">
        <f>("27-2485")</f>
        <v>27-2485</v>
      </c>
      <c r="B9279" s="15" t="s">
        <v>13735</v>
      </c>
      <c r="C9279" s="32">
        <v>242.5</v>
      </c>
    </row>
    <row r="9280" spans="1:3" x14ac:dyDescent="0.25">
      <c r="A9280" s="12" t="str">
        <f>("27-2495")</f>
        <v>27-2495</v>
      </c>
      <c r="B9280" s="15" t="s">
        <v>14082</v>
      </c>
      <c r="C9280" s="32">
        <v>170</v>
      </c>
    </row>
    <row r="9281" spans="1:3" x14ac:dyDescent="0.25">
      <c r="A9281" s="12" t="str">
        <f>("27-2505")</f>
        <v>27-2505</v>
      </c>
      <c r="B9281" s="15" t="s">
        <v>14083</v>
      </c>
      <c r="C9281" s="32">
        <v>170</v>
      </c>
    </row>
    <row r="9282" spans="1:3" x14ac:dyDescent="0.25">
      <c r="A9282" s="12" t="str">
        <f>("27-2785")</f>
        <v>27-2785</v>
      </c>
      <c r="B9282" s="15" t="s">
        <v>14084</v>
      </c>
      <c r="C9282" s="32">
        <v>242.5</v>
      </c>
    </row>
    <row r="9283" spans="1:3" x14ac:dyDescent="0.25">
      <c r="A9283" s="12" t="str">
        <f>("K27-61301905")</f>
        <v>K27-61301905</v>
      </c>
      <c r="B9283" s="15" t="s">
        <v>14085</v>
      </c>
      <c r="C9283" s="32">
        <v>891.25</v>
      </c>
    </row>
    <row r="9284" spans="1:3" x14ac:dyDescent="0.25">
      <c r="A9284" s="12" t="str">
        <f>("K27-61351905")</f>
        <v>K27-61351905</v>
      </c>
      <c r="B9284" s="15" t="s">
        <v>14085</v>
      </c>
      <c r="C9284" s="32">
        <v>831.25</v>
      </c>
    </row>
    <row r="9285" spans="1:3" x14ac:dyDescent="0.25">
      <c r="A9285" s="12" t="str">
        <f>("K27-61501905")</f>
        <v>K27-61501905</v>
      </c>
      <c r="B9285" s="15" t="s">
        <v>14086</v>
      </c>
      <c r="C9285" s="32">
        <v>921.25</v>
      </c>
    </row>
    <row r="9286" spans="1:3" x14ac:dyDescent="0.25">
      <c r="A9286" s="12" t="str">
        <f>("K27-61551905")</f>
        <v>K27-61551905</v>
      </c>
      <c r="B9286" s="15" t="s">
        <v>14086</v>
      </c>
      <c r="C9286" s="32">
        <v>882.5</v>
      </c>
    </row>
    <row r="9287" spans="1:3" x14ac:dyDescent="0.25">
      <c r="A9287" s="12" t="str">
        <f>("K27-66301905")</f>
        <v>K27-66301905</v>
      </c>
      <c r="B9287" s="15" t="s">
        <v>14085</v>
      </c>
      <c r="C9287" s="32">
        <v>891.25</v>
      </c>
    </row>
    <row r="9288" spans="1:3" x14ac:dyDescent="0.25">
      <c r="A9288" s="12" t="str">
        <f>("K27-66501905")</f>
        <v>K27-66501905</v>
      </c>
      <c r="B9288" s="15" t="s">
        <v>14086</v>
      </c>
      <c r="C9288" s="32">
        <v>921.25</v>
      </c>
    </row>
    <row r="9289" spans="1:3" x14ac:dyDescent="0.25">
      <c r="A9289" s="12" t="str">
        <f>("27-64710")</f>
        <v>27-64710</v>
      </c>
      <c r="B9289" s="15" t="s">
        <v>14087</v>
      </c>
      <c r="C9289" s="32">
        <v>736.25</v>
      </c>
    </row>
    <row r="9290" spans="1:3" x14ac:dyDescent="0.25">
      <c r="A9290" s="12" t="str">
        <f>("27-64715")</f>
        <v>27-64715</v>
      </c>
      <c r="B9290" s="15" t="s">
        <v>14088</v>
      </c>
      <c r="C9290" s="32">
        <v>613.75</v>
      </c>
    </row>
    <row r="9291" spans="1:3" x14ac:dyDescent="0.25">
      <c r="A9291" s="12" t="str">
        <f>("27-64720")</f>
        <v>27-64720</v>
      </c>
      <c r="B9291" s="15" t="s">
        <v>14089</v>
      </c>
      <c r="C9291" s="32">
        <v>797.5</v>
      </c>
    </row>
    <row r="9292" spans="1:3" x14ac:dyDescent="0.25">
      <c r="A9292" s="12" t="str">
        <f>("27-64725")</f>
        <v>27-64725</v>
      </c>
      <c r="B9292" s="15" t="s">
        <v>14090</v>
      </c>
      <c r="C9292" s="32">
        <v>675</v>
      </c>
    </row>
    <row r="9293" spans="1:3" x14ac:dyDescent="0.25">
      <c r="A9293" s="12" t="str">
        <f>("27-64730")</f>
        <v>27-64730</v>
      </c>
      <c r="B9293" s="15" t="s">
        <v>14091</v>
      </c>
      <c r="C9293" s="32">
        <v>880</v>
      </c>
    </row>
    <row r="9294" spans="1:3" x14ac:dyDescent="0.25">
      <c r="A9294" s="12" t="str">
        <f>("27-64735")</f>
        <v>27-64735</v>
      </c>
      <c r="B9294" s="15" t="s">
        <v>14092</v>
      </c>
      <c r="C9294" s="32">
        <v>736.25</v>
      </c>
    </row>
    <row r="9295" spans="1:3" x14ac:dyDescent="0.25">
      <c r="A9295" s="12" t="str">
        <f>("27-64740")</f>
        <v>27-64740</v>
      </c>
      <c r="B9295" s="15" t="s">
        <v>14093</v>
      </c>
      <c r="C9295" s="32">
        <v>1002.5</v>
      </c>
    </row>
    <row r="9296" spans="1:3" x14ac:dyDescent="0.25">
      <c r="A9296" s="12" t="str">
        <f>("27-64745")</f>
        <v>27-64745</v>
      </c>
      <c r="B9296" s="15" t="s">
        <v>14094</v>
      </c>
      <c r="C9296" s="32">
        <v>858.75</v>
      </c>
    </row>
    <row r="9297" spans="1:3" x14ac:dyDescent="0.25">
      <c r="A9297" s="12" t="str">
        <f>("27-64750")</f>
        <v>27-64750</v>
      </c>
      <c r="B9297" s="15" t="s">
        <v>14095</v>
      </c>
      <c r="C9297" s="32">
        <v>962.5</v>
      </c>
    </row>
    <row r="9298" spans="1:3" x14ac:dyDescent="0.25">
      <c r="A9298" s="12" t="str">
        <f>("27-64755")</f>
        <v>27-64755</v>
      </c>
      <c r="B9298" s="15" t="s">
        <v>14096</v>
      </c>
      <c r="C9298" s="32">
        <v>818.75</v>
      </c>
    </row>
    <row r="9299" spans="1:3" x14ac:dyDescent="0.25">
      <c r="A9299" s="12" t="str">
        <f>("27-64760")</f>
        <v>27-64760</v>
      </c>
      <c r="B9299" s="15" t="s">
        <v>14097</v>
      </c>
      <c r="C9299" s="32">
        <v>941.25</v>
      </c>
    </row>
    <row r="9300" spans="1:3" x14ac:dyDescent="0.25">
      <c r="A9300" s="12" t="str">
        <f>("27-64765")</f>
        <v>27-64765</v>
      </c>
      <c r="B9300" s="15" t="s">
        <v>14098</v>
      </c>
      <c r="C9300" s="32">
        <v>797.5</v>
      </c>
    </row>
    <row r="9301" spans="1:3" x14ac:dyDescent="0.25">
      <c r="A9301" s="12" t="str">
        <f>("27-65750")</f>
        <v>27-65750</v>
      </c>
      <c r="B9301" s="15" t="s">
        <v>14099</v>
      </c>
      <c r="C9301" s="32">
        <v>1250</v>
      </c>
    </row>
    <row r="9302" spans="1:3" x14ac:dyDescent="0.25">
      <c r="A9302" s="12" t="str">
        <f>("27-65760")</f>
        <v>27-65760</v>
      </c>
      <c r="B9302" s="15" t="s">
        <v>14100</v>
      </c>
      <c r="C9302" s="32">
        <v>1228.75</v>
      </c>
    </row>
    <row r="9303" spans="1:3" x14ac:dyDescent="0.25">
      <c r="A9303" s="12" t="str">
        <f>("27-65765")</f>
        <v>27-65765</v>
      </c>
      <c r="B9303" s="15" t="s">
        <v>14101</v>
      </c>
      <c r="C9303" s="32">
        <v>1085</v>
      </c>
    </row>
    <row r="9304" spans="1:3" x14ac:dyDescent="0.25">
      <c r="A9304" s="12" t="str">
        <f>("28-51003")</f>
        <v>28-51003</v>
      </c>
      <c r="B9304" s="15" t="s">
        <v>14102</v>
      </c>
      <c r="C9304" s="32">
        <v>308.75</v>
      </c>
    </row>
    <row r="9305" spans="1:3" x14ac:dyDescent="0.25">
      <c r="A9305" s="12" t="str">
        <f>("28-51005")</f>
        <v>28-51005</v>
      </c>
      <c r="B9305" s="15" t="s">
        <v>13798</v>
      </c>
      <c r="C9305" s="32">
        <v>736.25</v>
      </c>
    </row>
    <row r="9306" spans="1:3" x14ac:dyDescent="0.25">
      <c r="A9306" s="12" t="str">
        <f>("28-51010")</f>
        <v>28-51010</v>
      </c>
      <c r="B9306" s="15" t="s">
        <v>13725</v>
      </c>
      <c r="C9306" s="32">
        <v>778.75</v>
      </c>
    </row>
    <row r="9307" spans="1:3" x14ac:dyDescent="0.25">
      <c r="A9307" s="12" t="str">
        <f>("28-51015")</f>
        <v>28-51015</v>
      </c>
      <c r="B9307" s="15" t="s">
        <v>13725</v>
      </c>
      <c r="C9307" s="32">
        <v>736.25</v>
      </c>
    </row>
    <row r="9308" spans="1:3" ht="31.5" x14ac:dyDescent="0.25">
      <c r="A9308" s="12" t="str">
        <f>("28-51020")</f>
        <v>28-51020</v>
      </c>
      <c r="B9308" s="15" t="s">
        <v>14103</v>
      </c>
      <c r="C9308" s="32">
        <v>818.75</v>
      </c>
    </row>
    <row r="9309" spans="1:3" ht="31.5" x14ac:dyDescent="0.25">
      <c r="A9309" s="12" t="str">
        <f>("28-51025")</f>
        <v>28-51025</v>
      </c>
      <c r="B9309" s="15" t="s">
        <v>14103</v>
      </c>
      <c r="C9309" s="32">
        <v>778.75</v>
      </c>
    </row>
    <row r="9310" spans="1:3" x14ac:dyDescent="0.25">
      <c r="A9310" s="12" t="str">
        <f>("28-51030")</f>
        <v>28-51030</v>
      </c>
      <c r="B9310" s="15" t="s">
        <v>14104</v>
      </c>
      <c r="C9310" s="32">
        <v>880</v>
      </c>
    </row>
    <row r="9311" spans="1:3" x14ac:dyDescent="0.25">
      <c r="A9311" s="12" t="str">
        <f>("28-51035")</f>
        <v>28-51035</v>
      </c>
      <c r="B9311" s="15" t="s">
        <v>14104</v>
      </c>
      <c r="C9311" s="32">
        <v>818.75</v>
      </c>
    </row>
    <row r="9312" spans="1:3" x14ac:dyDescent="0.25">
      <c r="A9312" s="12" t="str">
        <f>("28-51040")</f>
        <v>28-51040</v>
      </c>
      <c r="B9312" s="15" t="s">
        <v>13718</v>
      </c>
      <c r="C9312" s="32">
        <v>818.75</v>
      </c>
    </row>
    <row r="9313" spans="1:3" x14ac:dyDescent="0.25">
      <c r="A9313" s="12" t="str">
        <f>("28-51045")</f>
        <v>28-51045</v>
      </c>
      <c r="B9313" s="15" t="s">
        <v>13718</v>
      </c>
      <c r="C9313" s="32">
        <v>778.75</v>
      </c>
    </row>
    <row r="9314" spans="1:3" ht="31.5" x14ac:dyDescent="0.25">
      <c r="A9314" s="12" t="str">
        <f>("28-51050")</f>
        <v>28-51050</v>
      </c>
      <c r="B9314" s="15" t="s">
        <v>13719</v>
      </c>
      <c r="C9314" s="32">
        <v>880</v>
      </c>
    </row>
    <row r="9315" spans="1:3" ht="31.5" x14ac:dyDescent="0.25">
      <c r="A9315" s="12" t="str">
        <f>("28-51055")</f>
        <v>28-51055</v>
      </c>
      <c r="B9315" s="15" t="s">
        <v>13719</v>
      </c>
      <c r="C9315" s="32">
        <v>818.75</v>
      </c>
    </row>
    <row r="9316" spans="1:3" x14ac:dyDescent="0.25">
      <c r="A9316" s="12" t="str">
        <f>("28-51080")</f>
        <v>28-51080</v>
      </c>
      <c r="B9316" s="15" t="s">
        <v>13723</v>
      </c>
      <c r="C9316" s="32">
        <v>818.75</v>
      </c>
    </row>
    <row r="9317" spans="1:3" x14ac:dyDescent="0.25">
      <c r="A9317" s="12" t="str">
        <f>("28-51085")</f>
        <v>28-51085</v>
      </c>
      <c r="B9317" s="15" t="s">
        <v>13723</v>
      </c>
      <c r="C9317" s="32">
        <v>778.75</v>
      </c>
    </row>
    <row r="9318" spans="1:3" x14ac:dyDescent="0.25">
      <c r="A9318" s="12" t="str">
        <f>("28-51090")</f>
        <v>28-51090</v>
      </c>
      <c r="B9318" s="15" t="s">
        <v>13724</v>
      </c>
      <c r="C9318" s="32">
        <v>880</v>
      </c>
    </row>
    <row r="9319" spans="1:3" x14ac:dyDescent="0.25">
      <c r="A9319" s="12" t="str">
        <f>("28-51095")</f>
        <v>28-51095</v>
      </c>
      <c r="B9319" s="15" t="s">
        <v>13724</v>
      </c>
      <c r="C9319" s="32">
        <v>818.75</v>
      </c>
    </row>
    <row r="9320" spans="1:3" x14ac:dyDescent="0.25">
      <c r="A9320" s="12" t="str">
        <f>("28-51125")</f>
        <v>28-51125</v>
      </c>
      <c r="B9320" s="15" t="s">
        <v>13788</v>
      </c>
      <c r="C9320" s="32">
        <v>736.25</v>
      </c>
    </row>
    <row r="9321" spans="1:3" x14ac:dyDescent="0.25">
      <c r="A9321" s="12" t="str">
        <f>("28-51130")</f>
        <v>28-51130</v>
      </c>
      <c r="B9321" s="15" t="s">
        <v>13713</v>
      </c>
      <c r="C9321" s="32">
        <v>818.75</v>
      </c>
    </row>
    <row r="9322" spans="1:3" x14ac:dyDescent="0.25">
      <c r="A9322" s="12" t="str">
        <f>("28-51135")</f>
        <v>28-51135</v>
      </c>
      <c r="B9322" s="15" t="s">
        <v>13713</v>
      </c>
      <c r="C9322" s="32">
        <v>778.75</v>
      </c>
    </row>
    <row r="9323" spans="1:3" x14ac:dyDescent="0.25">
      <c r="A9323" s="12" t="str">
        <f>("28-51140")</f>
        <v>28-51140</v>
      </c>
      <c r="B9323" s="15" t="s">
        <v>13715</v>
      </c>
      <c r="C9323" s="32">
        <v>818.75</v>
      </c>
    </row>
    <row r="9324" spans="1:3" x14ac:dyDescent="0.25">
      <c r="A9324" s="12" t="str">
        <f>("28-51145")</f>
        <v>28-51145</v>
      </c>
      <c r="B9324" s="15" t="s">
        <v>13715</v>
      </c>
      <c r="C9324" s="32">
        <v>778.75</v>
      </c>
    </row>
    <row r="9325" spans="1:3" x14ac:dyDescent="0.25">
      <c r="A9325" s="12" t="str">
        <f>("28-51150")</f>
        <v>28-51150</v>
      </c>
      <c r="B9325" s="15" t="s">
        <v>13716</v>
      </c>
      <c r="C9325" s="32">
        <v>880</v>
      </c>
    </row>
    <row r="9326" spans="1:3" x14ac:dyDescent="0.25">
      <c r="A9326" s="12" t="str">
        <f>("28-51155")</f>
        <v>28-51155</v>
      </c>
      <c r="B9326" s="15" t="s">
        <v>13716</v>
      </c>
      <c r="C9326" s="32">
        <v>818.75</v>
      </c>
    </row>
    <row r="9327" spans="1:3" x14ac:dyDescent="0.25">
      <c r="A9327" s="12" t="str">
        <f>("28-51160")</f>
        <v>28-51160</v>
      </c>
      <c r="B9327" s="15" t="s">
        <v>13799</v>
      </c>
      <c r="C9327" s="32">
        <v>880</v>
      </c>
    </row>
    <row r="9328" spans="1:3" x14ac:dyDescent="0.25">
      <c r="A9328" s="12" t="str">
        <f>("28-51165")</f>
        <v>28-51165</v>
      </c>
      <c r="B9328" s="15" t="s">
        <v>13799</v>
      </c>
      <c r="C9328" s="32">
        <v>818.75</v>
      </c>
    </row>
    <row r="9329" spans="1:3" x14ac:dyDescent="0.25">
      <c r="A9329" s="12" t="str">
        <f>("28-51175")</f>
        <v>28-51175</v>
      </c>
      <c r="B9329" s="15" t="s">
        <v>13920</v>
      </c>
      <c r="C9329" s="32">
        <v>778.75</v>
      </c>
    </row>
    <row r="9330" spans="1:3" x14ac:dyDescent="0.25">
      <c r="A9330" s="12" t="str">
        <f>("28-51180")</f>
        <v>28-51180</v>
      </c>
      <c r="B9330" s="15" t="s">
        <v>14105</v>
      </c>
      <c r="C9330" s="32">
        <v>778.75</v>
      </c>
    </row>
    <row r="9331" spans="1:3" x14ac:dyDescent="0.25">
      <c r="A9331" s="12" t="str">
        <f>("28-51185")</f>
        <v>28-51185</v>
      </c>
      <c r="B9331" s="15" t="s">
        <v>14105</v>
      </c>
      <c r="C9331" s="32">
        <v>736.25</v>
      </c>
    </row>
    <row r="9332" spans="1:3" x14ac:dyDescent="0.25">
      <c r="A9332" s="12" t="str">
        <f>("28-51190")</f>
        <v>28-51190</v>
      </c>
      <c r="B9332" s="15" t="s">
        <v>14106</v>
      </c>
      <c r="C9332" s="32">
        <v>778.75</v>
      </c>
    </row>
    <row r="9333" spans="1:3" x14ac:dyDescent="0.25">
      <c r="A9333" s="12" t="str">
        <f>("28-51195")</f>
        <v>28-51195</v>
      </c>
      <c r="B9333" s="15" t="s">
        <v>14107</v>
      </c>
      <c r="C9333" s="32">
        <v>736.25</v>
      </c>
    </row>
    <row r="9334" spans="1:3" x14ac:dyDescent="0.25">
      <c r="A9334" s="12" t="str">
        <f>("28-51200")</f>
        <v>28-51200</v>
      </c>
      <c r="B9334" s="15" t="s">
        <v>14108</v>
      </c>
      <c r="C9334" s="32">
        <v>778.75</v>
      </c>
    </row>
    <row r="9335" spans="1:3" x14ac:dyDescent="0.25">
      <c r="A9335" s="12" t="str">
        <f>("28-51205")</f>
        <v>28-51205</v>
      </c>
      <c r="B9335" s="15" t="s">
        <v>14108</v>
      </c>
      <c r="C9335" s="32">
        <v>736.25</v>
      </c>
    </row>
    <row r="9336" spans="1:3" x14ac:dyDescent="0.25">
      <c r="A9336" s="12" t="str">
        <f>("28-51220")</f>
        <v>28-51220</v>
      </c>
      <c r="B9336" s="15" t="s">
        <v>13727</v>
      </c>
      <c r="C9336" s="32">
        <v>880</v>
      </c>
    </row>
    <row r="9337" spans="1:3" x14ac:dyDescent="0.25">
      <c r="A9337" s="12" t="str">
        <f>("28-51225")</f>
        <v>28-51225</v>
      </c>
      <c r="B9337" s="15" t="s">
        <v>13727</v>
      </c>
      <c r="C9337" s="32">
        <v>818.75</v>
      </c>
    </row>
    <row r="9338" spans="1:3" x14ac:dyDescent="0.25">
      <c r="A9338" s="12" t="str">
        <f>("28-51230")</f>
        <v>28-51230</v>
      </c>
      <c r="B9338" s="15" t="s">
        <v>13728</v>
      </c>
      <c r="C9338" s="32">
        <v>818.75</v>
      </c>
    </row>
    <row r="9339" spans="1:3" x14ac:dyDescent="0.25">
      <c r="A9339" s="12" t="str">
        <f>("28-51235")</f>
        <v>28-51235</v>
      </c>
      <c r="B9339" s="15" t="s">
        <v>13728</v>
      </c>
      <c r="C9339" s="32">
        <v>778.75</v>
      </c>
    </row>
    <row r="9340" spans="1:3" x14ac:dyDescent="0.25">
      <c r="A9340" s="12" t="str">
        <f>("28-51250")</f>
        <v>28-51250</v>
      </c>
      <c r="B9340" s="15" t="s">
        <v>13804</v>
      </c>
      <c r="C9340" s="32">
        <v>745</v>
      </c>
    </row>
    <row r="9341" spans="1:3" x14ac:dyDescent="0.25">
      <c r="A9341" s="12" t="str">
        <f>("28-51255")</f>
        <v>28-51255</v>
      </c>
      <c r="B9341" s="15" t="s">
        <v>13804</v>
      </c>
      <c r="C9341" s="32">
        <v>707.5</v>
      </c>
    </row>
    <row r="9342" spans="1:3" ht="31.5" x14ac:dyDescent="0.25">
      <c r="A9342" s="12" t="str">
        <f>("28-51260")</f>
        <v>28-51260</v>
      </c>
      <c r="B9342" s="15" t="s">
        <v>13729</v>
      </c>
      <c r="C9342" s="32">
        <v>818.75</v>
      </c>
    </row>
    <row r="9343" spans="1:3" ht="31.5" x14ac:dyDescent="0.25">
      <c r="A9343" s="12" t="str">
        <f>("28-51265")</f>
        <v>28-51265</v>
      </c>
      <c r="B9343" s="15" t="s">
        <v>13729</v>
      </c>
      <c r="C9343" s="32">
        <v>778.75</v>
      </c>
    </row>
    <row r="9344" spans="1:3" x14ac:dyDescent="0.25">
      <c r="A9344" s="12" t="str">
        <f>("28-51270")</f>
        <v>28-51270</v>
      </c>
      <c r="B9344" s="15" t="s">
        <v>14109</v>
      </c>
      <c r="C9344" s="32">
        <v>880</v>
      </c>
    </row>
    <row r="9345" spans="1:3" x14ac:dyDescent="0.25">
      <c r="A9345" s="12" t="str">
        <f>("28-51275")</f>
        <v>28-51275</v>
      </c>
      <c r="B9345" s="15" t="s">
        <v>14109</v>
      </c>
      <c r="C9345" s="32">
        <v>818.75</v>
      </c>
    </row>
    <row r="9346" spans="1:3" x14ac:dyDescent="0.25">
      <c r="A9346" s="12" t="str">
        <f>("28-51285")</f>
        <v>28-51285</v>
      </c>
      <c r="B9346" s="15" t="s">
        <v>13802</v>
      </c>
      <c r="C9346" s="32">
        <v>670</v>
      </c>
    </row>
    <row r="9347" spans="1:3" x14ac:dyDescent="0.25">
      <c r="A9347" s="12" t="str">
        <f>("28-51290")</f>
        <v>28-51290</v>
      </c>
      <c r="B9347" s="15" t="s">
        <v>13803</v>
      </c>
      <c r="C9347" s="32">
        <v>745</v>
      </c>
    </row>
    <row r="9348" spans="1:3" x14ac:dyDescent="0.25">
      <c r="A9348" s="12" t="str">
        <f>("28-51295")</f>
        <v>28-51295</v>
      </c>
      <c r="B9348" s="15" t="s">
        <v>13803</v>
      </c>
      <c r="C9348" s="32">
        <v>707.5</v>
      </c>
    </row>
    <row r="9349" spans="1:3" x14ac:dyDescent="0.25">
      <c r="A9349" s="12" t="str">
        <f>("28-51315")</f>
        <v>28-51315</v>
      </c>
      <c r="B9349" s="15" t="s">
        <v>13726</v>
      </c>
      <c r="C9349" s="32">
        <v>778.75</v>
      </c>
    </row>
    <row r="9350" spans="1:3" x14ac:dyDescent="0.25">
      <c r="A9350" s="12" t="str">
        <f>("28-51325")</f>
        <v>28-51325</v>
      </c>
      <c r="B9350" s="15" t="s">
        <v>13731</v>
      </c>
      <c r="C9350" s="32">
        <v>778.75</v>
      </c>
    </row>
    <row r="9351" spans="1:3" x14ac:dyDescent="0.25">
      <c r="A9351" s="12" t="str">
        <f>("28-51330")</f>
        <v>28-51330</v>
      </c>
      <c r="B9351" s="15" t="s">
        <v>13734</v>
      </c>
      <c r="C9351" s="32">
        <v>818.75</v>
      </c>
    </row>
    <row r="9352" spans="1:3" x14ac:dyDescent="0.25">
      <c r="A9352" s="12" t="str">
        <f>("28-51335")</f>
        <v>28-51335</v>
      </c>
      <c r="B9352" s="15" t="s">
        <v>13734</v>
      </c>
      <c r="C9352" s="32">
        <v>778.75</v>
      </c>
    </row>
    <row r="9353" spans="1:3" x14ac:dyDescent="0.25">
      <c r="A9353" s="12" t="str">
        <f>("28-51340")</f>
        <v>28-51340</v>
      </c>
      <c r="B9353" s="15" t="s">
        <v>13735</v>
      </c>
      <c r="C9353" s="32">
        <v>880</v>
      </c>
    </row>
    <row r="9354" spans="1:3" x14ac:dyDescent="0.25">
      <c r="A9354" s="12" t="str">
        <f>("28-51345")</f>
        <v>28-51345</v>
      </c>
      <c r="B9354" s="15" t="s">
        <v>13735</v>
      </c>
      <c r="C9354" s="32">
        <v>818.75</v>
      </c>
    </row>
    <row r="9355" spans="1:3" ht="31.5" x14ac:dyDescent="0.25">
      <c r="A9355" s="12" t="str">
        <f>("28-521050")</f>
        <v>28-521050</v>
      </c>
      <c r="B9355" s="15" t="s">
        <v>13719</v>
      </c>
      <c r="C9355" s="32">
        <v>933.75</v>
      </c>
    </row>
    <row r="9356" spans="1:3" ht="31.5" x14ac:dyDescent="0.25">
      <c r="A9356" s="12" t="str">
        <f>("28-521055")</f>
        <v>28-521055</v>
      </c>
      <c r="B9356" s="15" t="s">
        <v>13719</v>
      </c>
      <c r="C9356" s="32">
        <v>868.75</v>
      </c>
    </row>
    <row r="9357" spans="1:3" x14ac:dyDescent="0.25">
      <c r="A9357" s="12" t="str">
        <f>("28-521095")</f>
        <v>28-521095</v>
      </c>
      <c r="B9357" s="15" t="s">
        <v>13724</v>
      </c>
      <c r="C9357" s="32">
        <v>868.75</v>
      </c>
    </row>
    <row r="9358" spans="1:3" x14ac:dyDescent="0.25">
      <c r="A9358" s="12" t="str">
        <f>("28-521270")</f>
        <v>28-521270</v>
      </c>
      <c r="B9358" s="15" t="s">
        <v>14109</v>
      </c>
      <c r="C9358" s="32">
        <v>933.75</v>
      </c>
    </row>
    <row r="9359" spans="1:3" x14ac:dyDescent="0.25">
      <c r="A9359" s="12" t="str">
        <f>("28-521275")</f>
        <v>28-521275</v>
      </c>
      <c r="B9359" s="15" t="s">
        <v>14109</v>
      </c>
      <c r="C9359" s="32">
        <v>868.75</v>
      </c>
    </row>
    <row r="9360" spans="1:3" x14ac:dyDescent="0.25">
      <c r="A9360" s="12" t="str">
        <f>("28-52780")</f>
        <v>28-52780</v>
      </c>
      <c r="B9360" s="15" t="s">
        <v>13714</v>
      </c>
      <c r="C9360" s="32">
        <v>831.25</v>
      </c>
    </row>
    <row r="9361" spans="1:3" x14ac:dyDescent="0.25">
      <c r="A9361" s="12" t="str">
        <f>("28-52785")</f>
        <v>28-52785</v>
      </c>
      <c r="B9361" s="15" t="s">
        <v>13714</v>
      </c>
      <c r="C9361" s="32">
        <v>778.75</v>
      </c>
    </row>
    <row r="9362" spans="1:3" x14ac:dyDescent="0.25">
      <c r="A9362" s="12" t="str">
        <f>("28-53780")</f>
        <v>28-53780</v>
      </c>
      <c r="B9362" s="15" t="s">
        <v>13742</v>
      </c>
      <c r="C9362" s="32">
        <v>778.75</v>
      </c>
    </row>
    <row r="9363" spans="1:3" x14ac:dyDescent="0.25">
      <c r="A9363" s="12" t="str">
        <f>("28-53785")</f>
        <v>28-53785</v>
      </c>
      <c r="B9363" s="15" t="s">
        <v>13742</v>
      </c>
      <c r="C9363" s="32">
        <v>736.25</v>
      </c>
    </row>
    <row r="9364" spans="1:3" x14ac:dyDescent="0.25">
      <c r="A9364" s="12" t="str">
        <f>("28-5234760")</f>
        <v>28-5234760</v>
      </c>
      <c r="B9364" s="15" t="s">
        <v>13835</v>
      </c>
      <c r="C9364" s="32">
        <v>1561.25</v>
      </c>
    </row>
    <row r="9365" spans="1:3" x14ac:dyDescent="0.25">
      <c r="A9365" s="12" t="str">
        <f>("28-5234765")</f>
        <v>28-5234765</v>
      </c>
      <c r="B9365" s="15" t="s">
        <v>13835</v>
      </c>
      <c r="C9365" s="32">
        <v>1171.25</v>
      </c>
    </row>
    <row r="9366" spans="1:3" x14ac:dyDescent="0.25">
      <c r="A9366" s="12" t="str">
        <f>("28-5234770")</f>
        <v>28-5234770</v>
      </c>
      <c r="B9366" s="15" t="s">
        <v>13836</v>
      </c>
      <c r="C9366" s="32">
        <v>1561.25</v>
      </c>
    </row>
    <row r="9367" spans="1:3" x14ac:dyDescent="0.25">
      <c r="A9367" s="12" t="str">
        <f>("28-5234775")</f>
        <v>28-5234775</v>
      </c>
      <c r="B9367" s="15" t="s">
        <v>13836</v>
      </c>
      <c r="C9367" s="32">
        <v>1171.25</v>
      </c>
    </row>
    <row r="9368" spans="1:3" x14ac:dyDescent="0.25">
      <c r="A9368" s="12" t="str">
        <f>("28-534015")</f>
        <v>28-534015</v>
      </c>
      <c r="B9368" s="15" t="s">
        <v>13808</v>
      </c>
      <c r="C9368" s="32">
        <v>1127.5</v>
      </c>
    </row>
    <row r="9369" spans="1:3" x14ac:dyDescent="0.25">
      <c r="A9369" s="12" t="str">
        <f>("28-534180")</f>
        <v>28-534180</v>
      </c>
      <c r="B9369" s="15" t="s">
        <v>14110</v>
      </c>
      <c r="C9369" s="32">
        <v>1351.25</v>
      </c>
    </row>
    <row r="9370" spans="1:3" x14ac:dyDescent="0.25">
      <c r="A9370" s="12" t="str">
        <f>("28-534185")</f>
        <v>28-534185</v>
      </c>
      <c r="B9370" s="15" t="s">
        <v>14110</v>
      </c>
      <c r="C9370" s="32">
        <v>1023.75</v>
      </c>
    </row>
    <row r="9371" spans="1:3" ht="31.5" x14ac:dyDescent="0.25">
      <c r="A9371" s="12" t="str">
        <f>("28-534310")</f>
        <v>28-534310</v>
      </c>
      <c r="B9371" s="15" t="s">
        <v>14111</v>
      </c>
      <c r="C9371" s="32">
        <v>1516.25</v>
      </c>
    </row>
    <row r="9372" spans="1:3" ht="31.5" x14ac:dyDescent="0.25">
      <c r="A9372" s="12" t="str">
        <f>("28-534315")</f>
        <v>28-534315</v>
      </c>
      <c r="B9372" s="15" t="s">
        <v>14111</v>
      </c>
      <c r="C9372" s="32">
        <v>1127.5</v>
      </c>
    </row>
    <row r="9373" spans="1:3" x14ac:dyDescent="0.25">
      <c r="A9373" s="12" t="str">
        <f>("28-534320")</f>
        <v>28-534320</v>
      </c>
      <c r="B9373" s="15" t="s">
        <v>14112</v>
      </c>
      <c r="C9373" s="32">
        <v>1516.25</v>
      </c>
    </row>
    <row r="9374" spans="1:3" x14ac:dyDescent="0.25">
      <c r="A9374" s="12" t="str">
        <f>("28-534325")</f>
        <v>28-534325</v>
      </c>
      <c r="B9374" s="15" t="s">
        <v>14112</v>
      </c>
      <c r="C9374" s="32">
        <v>1127.5</v>
      </c>
    </row>
    <row r="9375" spans="1:3" x14ac:dyDescent="0.25">
      <c r="A9375" s="12" t="str">
        <f>("28-534330")</f>
        <v>28-534330</v>
      </c>
      <c r="B9375" s="15" t="s">
        <v>14113</v>
      </c>
      <c r="C9375" s="32">
        <v>1516.25</v>
      </c>
    </row>
    <row r="9376" spans="1:3" x14ac:dyDescent="0.25">
      <c r="A9376" s="12" t="str">
        <f>("28-534335")</f>
        <v>28-534335</v>
      </c>
      <c r="B9376" s="15" t="s">
        <v>14113</v>
      </c>
      <c r="C9376" s="32">
        <v>1127.5</v>
      </c>
    </row>
    <row r="9377" spans="1:3" x14ac:dyDescent="0.25">
      <c r="A9377" s="12" t="str">
        <f>("28-534340")</f>
        <v>28-534340</v>
      </c>
      <c r="B9377" s="15" t="s">
        <v>13815</v>
      </c>
      <c r="C9377" s="32">
        <v>1516.25</v>
      </c>
    </row>
    <row r="9378" spans="1:3" x14ac:dyDescent="0.25">
      <c r="A9378" s="12" t="str">
        <f>("28-534345")</f>
        <v>28-534345</v>
      </c>
      <c r="B9378" s="15" t="s">
        <v>13815</v>
      </c>
      <c r="C9378" s="32">
        <v>1127.5</v>
      </c>
    </row>
    <row r="9379" spans="1:3" x14ac:dyDescent="0.25">
      <c r="A9379" s="12" t="str">
        <f>("28-534565")</f>
        <v>28-534565</v>
      </c>
      <c r="B9379" s="15" t="s">
        <v>14114</v>
      </c>
      <c r="C9379" s="32">
        <v>1023.75</v>
      </c>
    </row>
    <row r="9380" spans="1:3" ht="31.5" x14ac:dyDescent="0.25">
      <c r="A9380" s="12" t="str">
        <f>("28-534570")</f>
        <v>28-534570</v>
      </c>
      <c r="B9380" s="15" t="s">
        <v>13817</v>
      </c>
      <c r="C9380" s="32">
        <v>1516.25</v>
      </c>
    </row>
    <row r="9381" spans="1:3" ht="31.5" x14ac:dyDescent="0.25">
      <c r="A9381" s="12" t="str">
        <f>("28-534575")</f>
        <v>28-534575</v>
      </c>
      <c r="B9381" s="15" t="s">
        <v>13817</v>
      </c>
      <c r="C9381" s="32">
        <v>1127.5</v>
      </c>
    </row>
    <row r="9382" spans="1:3" x14ac:dyDescent="0.25">
      <c r="A9382" s="12" t="str">
        <f>("28-534585")</f>
        <v>28-534585</v>
      </c>
      <c r="B9382" s="15" t="s">
        <v>14115</v>
      </c>
      <c r="C9382" s="32">
        <v>1127.5</v>
      </c>
    </row>
    <row r="9383" spans="1:3" ht="47.25" x14ac:dyDescent="0.25">
      <c r="A9383" s="12" t="str">
        <f>("28-534590")</f>
        <v>28-534590</v>
      </c>
      <c r="B9383" s="15" t="s">
        <v>13819</v>
      </c>
      <c r="C9383" s="32">
        <v>1516.25</v>
      </c>
    </row>
    <row r="9384" spans="1:3" ht="31.5" x14ac:dyDescent="0.25">
      <c r="A9384" s="12" t="str">
        <f>("28-534680")</f>
        <v>28-534680</v>
      </c>
      <c r="B9384" s="15" t="s">
        <v>14116</v>
      </c>
      <c r="C9384" s="32">
        <v>1351.25</v>
      </c>
    </row>
    <row r="9385" spans="1:3" ht="31.5" x14ac:dyDescent="0.25">
      <c r="A9385" s="12" t="str">
        <f>("28-534685")</f>
        <v>28-534685</v>
      </c>
      <c r="B9385" s="15" t="s">
        <v>14116</v>
      </c>
      <c r="C9385" s="32">
        <v>1023.75</v>
      </c>
    </row>
    <row r="9386" spans="1:3" x14ac:dyDescent="0.25">
      <c r="A9386" s="12" t="str">
        <f>("28-534690")</f>
        <v>28-534690</v>
      </c>
      <c r="B9386" s="15" t="s">
        <v>13828</v>
      </c>
      <c r="C9386" s="32">
        <v>1516.25</v>
      </c>
    </row>
    <row r="9387" spans="1:3" x14ac:dyDescent="0.25">
      <c r="A9387" s="12" t="str">
        <f>("28-534695")</f>
        <v>28-534695</v>
      </c>
      <c r="B9387" s="15" t="s">
        <v>13828</v>
      </c>
      <c r="C9387" s="32">
        <v>1127.5</v>
      </c>
    </row>
    <row r="9388" spans="1:3" x14ac:dyDescent="0.25">
      <c r="A9388" s="12" t="str">
        <f>("28-534700")</f>
        <v>28-534700</v>
      </c>
      <c r="B9388" s="15" t="s">
        <v>13829</v>
      </c>
      <c r="C9388" s="32">
        <v>1516.25</v>
      </c>
    </row>
    <row r="9389" spans="1:3" x14ac:dyDescent="0.25">
      <c r="A9389" s="12" t="str">
        <f>("28-534705")</f>
        <v>28-534705</v>
      </c>
      <c r="B9389" s="15" t="s">
        <v>13829</v>
      </c>
      <c r="C9389" s="32">
        <v>1127.5</v>
      </c>
    </row>
    <row r="9390" spans="1:3" x14ac:dyDescent="0.25">
      <c r="A9390" s="12" t="str">
        <f>("28-534720")</f>
        <v>28-534720</v>
      </c>
      <c r="B9390" s="15" t="s">
        <v>13831</v>
      </c>
      <c r="C9390" s="32">
        <v>1516.25</v>
      </c>
    </row>
    <row r="9391" spans="1:3" x14ac:dyDescent="0.25">
      <c r="A9391" s="12" t="str">
        <f>("28-534725")</f>
        <v>28-534725</v>
      </c>
      <c r="B9391" s="15" t="s">
        <v>13831</v>
      </c>
      <c r="C9391" s="32">
        <v>1127.5</v>
      </c>
    </row>
    <row r="9392" spans="1:3" x14ac:dyDescent="0.25">
      <c r="A9392" s="12" t="str">
        <f>("28-534730")</f>
        <v>28-534730</v>
      </c>
      <c r="B9392" s="15" t="s">
        <v>13832</v>
      </c>
      <c r="C9392" s="32">
        <v>1516.25</v>
      </c>
    </row>
    <row r="9393" spans="1:3" x14ac:dyDescent="0.25">
      <c r="A9393" s="12" t="str">
        <f>("28-534735")</f>
        <v>28-534735</v>
      </c>
      <c r="B9393" s="15" t="s">
        <v>13832</v>
      </c>
      <c r="C9393" s="32">
        <v>1127.5</v>
      </c>
    </row>
    <row r="9394" spans="1:3" x14ac:dyDescent="0.25">
      <c r="A9394" s="12" t="str">
        <f>("28-534740")</f>
        <v>28-534740</v>
      </c>
      <c r="B9394" s="15" t="s">
        <v>13833</v>
      </c>
      <c r="C9394" s="32">
        <v>1648.75</v>
      </c>
    </row>
    <row r="9395" spans="1:3" x14ac:dyDescent="0.25">
      <c r="A9395" s="12" t="str">
        <f>("28-534745")</f>
        <v>28-534745</v>
      </c>
      <c r="B9395" s="15" t="s">
        <v>13833</v>
      </c>
      <c r="C9395" s="32">
        <v>1225</v>
      </c>
    </row>
    <row r="9396" spans="1:3" x14ac:dyDescent="0.25">
      <c r="A9396" s="12" t="str">
        <f>("28-534750")</f>
        <v>28-534750</v>
      </c>
      <c r="B9396" s="15" t="s">
        <v>14117</v>
      </c>
      <c r="C9396" s="32">
        <v>1648.75</v>
      </c>
    </row>
    <row r="9397" spans="1:3" x14ac:dyDescent="0.25">
      <c r="A9397" s="12" t="str">
        <f>("28-534755")</f>
        <v>28-534755</v>
      </c>
      <c r="B9397" s="15" t="s">
        <v>14117</v>
      </c>
      <c r="C9397" s="32">
        <v>1225</v>
      </c>
    </row>
    <row r="9398" spans="1:3" x14ac:dyDescent="0.25">
      <c r="A9398" s="12" t="str">
        <f>("28-534760")</f>
        <v>28-534760</v>
      </c>
      <c r="B9398" s="15" t="s">
        <v>14118</v>
      </c>
      <c r="C9398" s="32">
        <v>1648.75</v>
      </c>
    </row>
    <row r="9399" spans="1:3" x14ac:dyDescent="0.25">
      <c r="A9399" s="12" t="str">
        <f>("28-534765")</f>
        <v>28-534765</v>
      </c>
      <c r="B9399" s="15" t="s">
        <v>14118</v>
      </c>
      <c r="C9399" s="32">
        <v>1225</v>
      </c>
    </row>
    <row r="9400" spans="1:3" x14ac:dyDescent="0.25">
      <c r="A9400" s="12" t="str">
        <f>("28-534770")</f>
        <v>28-534770</v>
      </c>
      <c r="B9400" s="15" t="s">
        <v>14119</v>
      </c>
      <c r="C9400" s="32">
        <v>1648.75</v>
      </c>
    </row>
    <row r="9401" spans="1:3" x14ac:dyDescent="0.25">
      <c r="A9401" s="12" t="str">
        <f>("28-534775")</f>
        <v>28-534775</v>
      </c>
      <c r="B9401" s="15" t="s">
        <v>14119</v>
      </c>
      <c r="C9401" s="32">
        <v>1225</v>
      </c>
    </row>
    <row r="9402" spans="1:3" x14ac:dyDescent="0.25">
      <c r="A9402" s="12" t="str">
        <f>("28-534780")</f>
        <v>28-534780</v>
      </c>
      <c r="B9402" s="15" t="s">
        <v>14120</v>
      </c>
      <c r="C9402" s="32">
        <v>1516.25</v>
      </c>
    </row>
    <row r="9403" spans="1:3" x14ac:dyDescent="0.25">
      <c r="A9403" s="12" t="str">
        <f>("28-534785")</f>
        <v>28-534785</v>
      </c>
      <c r="B9403" s="15" t="s">
        <v>14120</v>
      </c>
      <c r="C9403" s="32">
        <v>1127.5</v>
      </c>
    </row>
    <row r="9404" spans="1:3" x14ac:dyDescent="0.25">
      <c r="A9404" s="12" t="str">
        <f>("28-71015")</f>
        <v>28-71015</v>
      </c>
      <c r="B9404" s="15" t="s">
        <v>13725</v>
      </c>
      <c r="C9404" s="32">
        <v>1023.75</v>
      </c>
    </row>
    <row r="9405" spans="1:3" ht="31.5" x14ac:dyDescent="0.25">
      <c r="A9405" s="12" t="str">
        <f>("28-71020")</f>
        <v>28-71020</v>
      </c>
      <c r="B9405" s="15" t="s">
        <v>14103</v>
      </c>
      <c r="C9405" s="32">
        <v>1085</v>
      </c>
    </row>
    <row r="9406" spans="1:3" ht="31.5" x14ac:dyDescent="0.25">
      <c r="A9406" s="12" t="str">
        <f>("28-71025")</f>
        <v>28-71025</v>
      </c>
      <c r="B9406" s="15" t="s">
        <v>14103</v>
      </c>
      <c r="C9406" s="32">
        <v>880</v>
      </c>
    </row>
    <row r="9407" spans="1:3" x14ac:dyDescent="0.25">
      <c r="A9407" s="12" t="str">
        <f>("28-71030")</f>
        <v>28-71030</v>
      </c>
      <c r="B9407" s="15" t="s">
        <v>14104</v>
      </c>
      <c r="C9407" s="32">
        <v>1228.75</v>
      </c>
    </row>
    <row r="9408" spans="1:3" x14ac:dyDescent="0.25">
      <c r="A9408" s="12" t="str">
        <f>("28-71035")</f>
        <v>28-71035</v>
      </c>
      <c r="B9408" s="15" t="s">
        <v>14104</v>
      </c>
      <c r="C9408" s="32">
        <v>1023.75</v>
      </c>
    </row>
    <row r="9409" spans="1:3" x14ac:dyDescent="0.25">
      <c r="A9409" s="12" t="str">
        <f>("28-71040")</f>
        <v>28-71040</v>
      </c>
      <c r="B9409" s="15" t="s">
        <v>13718</v>
      </c>
      <c r="C9409" s="32">
        <v>1085</v>
      </c>
    </row>
    <row r="9410" spans="1:3" x14ac:dyDescent="0.25">
      <c r="A9410" s="12" t="str">
        <f>("28-71045")</f>
        <v>28-71045</v>
      </c>
      <c r="B9410" s="15" t="s">
        <v>13718</v>
      </c>
      <c r="C9410" s="32">
        <v>880</v>
      </c>
    </row>
    <row r="9411" spans="1:3" ht="31.5" x14ac:dyDescent="0.25">
      <c r="A9411" s="12" t="str">
        <f>("28-71050")</f>
        <v>28-71050</v>
      </c>
      <c r="B9411" s="15" t="s">
        <v>13719</v>
      </c>
      <c r="C9411" s="32">
        <v>1228.75</v>
      </c>
    </row>
    <row r="9412" spans="1:3" ht="31.5" x14ac:dyDescent="0.25">
      <c r="A9412" s="12" t="str">
        <f>("28-71055")</f>
        <v>28-71055</v>
      </c>
      <c r="B9412" s="15" t="s">
        <v>13719</v>
      </c>
      <c r="C9412" s="32">
        <v>1023.75</v>
      </c>
    </row>
    <row r="9413" spans="1:3" x14ac:dyDescent="0.25">
      <c r="A9413" s="12" t="str">
        <f>("28-71085")</f>
        <v>28-71085</v>
      </c>
      <c r="B9413" s="15" t="s">
        <v>13723</v>
      </c>
      <c r="C9413" s="32">
        <v>880</v>
      </c>
    </row>
    <row r="9414" spans="1:3" x14ac:dyDescent="0.25">
      <c r="A9414" s="12" t="str">
        <f>("28-71090")</f>
        <v>28-71090</v>
      </c>
      <c r="B9414" s="15" t="s">
        <v>13724</v>
      </c>
      <c r="C9414" s="32">
        <v>1228.75</v>
      </c>
    </row>
    <row r="9415" spans="1:3" x14ac:dyDescent="0.25">
      <c r="A9415" s="12" t="str">
        <f>("28-71095")</f>
        <v>28-71095</v>
      </c>
      <c r="B9415" s="15" t="s">
        <v>13724</v>
      </c>
      <c r="C9415" s="32">
        <v>1023.75</v>
      </c>
    </row>
    <row r="9416" spans="1:3" x14ac:dyDescent="0.25">
      <c r="A9416" s="12" t="str">
        <f>("28-71115")</f>
        <v>28-71115</v>
      </c>
      <c r="B9416" s="15" t="s">
        <v>13710</v>
      </c>
      <c r="C9416" s="32">
        <v>1023.75</v>
      </c>
    </row>
    <row r="9417" spans="1:3" x14ac:dyDescent="0.25">
      <c r="A9417" s="12" t="str">
        <f>("28-71125")</f>
        <v>28-71125</v>
      </c>
      <c r="B9417" s="15" t="s">
        <v>13788</v>
      </c>
      <c r="C9417" s="32">
        <v>880</v>
      </c>
    </row>
    <row r="9418" spans="1:3" x14ac:dyDescent="0.25">
      <c r="A9418" s="12" t="str">
        <f>("28-71165")</f>
        <v>28-71165</v>
      </c>
      <c r="B9418" s="15" t="s">
        <v>13799</v>
      </c>
      <c r="C9418" s="32">
        <v>890</v>
      </c>
    </row>
    <row r="9419" spans="1:3" x14ac:dyDescent="0.25">
      <c r="A9419" s="12" t="str">
        <f>("28-71220")</f>
        <v>28-71220</v>
      </c>
      <c r="B9419" s="15" t="s">
        <v>13727</v>
      </c>
      <c r="C9419" s="32">
        <v>1228.75</v>
      </c>
    </row>
    <row r="9420" spans="1:3" x14ac:dyDescent="0.25">
      <c r="A9420" s="12" t="str">
        <f>("28-71225")</f>
        <v>28-71225</v>
      </c>
      <c r="B9420" s="15" t="s">
        <v>13727</v>
      </c>
      <c r="C9420" s="32">
        <v>1023.75</v>
      </c>
    </row>
    <row r="9421" spans="1:3" x14ac:dyDescent="0.25">
      <c r="A9421" s="12" t="str">
        <f>("28-71250")</f>
        <v>28-71250</v>
      </c>
      <c r="B9421" s="15" t="s">
        <v>13801</v>
      </c>
      <c r="C9421" s="32">
        <v>1085</v>
      </c>
    </row>
    <row r="9422" spans="1:3" x14ac:dyDescent="0.25">
      <c r="A9422" s="12" t="str">
        <f>("28-71255")</f>
        <v>28-71255</v>
      </c>
      <c r="B9422" s="15" t="s">
        <v>13801</v>
      </c>
      <c r="C9422" s="32">
        <v>880</v>
      </c>
    </row>
    <row r="9423" spans="1:3" ht="31.5" x14ac:dyDescent="0.25">
      <c r="A9423" s="12" t="str">
        <f>("28-71260")</f>
        <v>28-71260</v>
      </c>
      <c r="B9423" s="15" t="s">
        <v>13729</v>
      </c>
      <c r="C9423" s="32">
        <v>1085</v>
      </c>
    </row>
    <row r="9424" spans="1:3" ht="31.5" x14ac:dyDescent="0.25">
      <c r="A9424" s="12" t="str">
        <f>("28-71265")</f>
        <v>28-71265</v>
      </c>
      <c r="B9424" s="15" t="s">
        <v>13729</v>
      </c>
      <c r="C9424" s="32">
        <v>880</v>
      </c>
    </row>
    <row r="9425" spans="1:3" ht="31.5" x14ac:dyDescent="0.25">
      <c r="A9425" s="12" t="str">
        <f>("28-71270")</f>
        <v>28-71270</v>
      </c>
      <c r="B9425" s="15" t="s">
        <v>13730</v>
      </c>
      <c r="C9425" s="32">
        <v>1228.75</v>
      </c>
    </row>
    <row r="9426" spans="1:3" ht="31.5" x14ac:dyDescent="0.25">
      <c r="A9426" s="12" t="str">
        <f>("28-71275")</f>
        <v>28-71275</v>
      </c>
      <c r="B9426" s="15" t="s">
        <v>13730</v>
      </c>
      <c r="C9426" s="32">
        <v>1023.75</v>
      </c>
    </row>
    <row r="9427" spans="1:3" x14ac:dyDescent="0.25">
      <c r="A9427" s="12" t="str">
        <f>("28-81055")</f>
        <v>28-81055</v>
      </c>
      <c r="B9427" s="15" t="s">
        <v>14121</v>
      </c>
      <c r="C9427" s="32">
        <v>1023.75</v>
      </c>
    </row>
    <row r="9428" spans="1:3" x14ac:dyDescent="0.25">
      <c r="A9428" s="12" t="str">
        <f>("28-81095")</f>
        <v>28-81095</v>
      </c>
      <c r="B9428" s="15" t="s">
        <v>14122</v>
      </c>
      <c r="C9428" s="32">
        <v>1023.75</v>
      </c>
    </row>
    <row r="9429" spans="1:3" x14ac:dyDescent="0.25">
      <c r="A9429" s="12" t="str">
        <f>("28-81165")</f>
        <v>28-81165</v>
      </c>
      <c r="B9429" s="15" t="s">
        <v>13799</v>
      </c>
      <c r="C9429" s="32">
        <v>1023.75</v>
      </c>
    </row>
    <row r="9430" spans="1:3" ht="31.5" x14ac:dyDescent="0.25">
      <c r="A9430" s="12" t="str">
        <f>("28-81275")</f>
        <v>28-81275</v>
      </c>
      <c r="B9430" s="15" t="s">
        <v>13730</v>
      </c>
      <c r="C9430" s="32">
        <v>1023.75</v>
      </c>
    </row>
    <row r="9431" spans="1:3" x14ac:dyDescent="0.25">
      <c r="A9431" s="12" t="str">
        <f>("30-0005")</f>
        <v>30-0005</v>
      </c>
      <c r="B9431" s="15" t="s">
        <v>14123</v>
      </c>
      <c r="C9431" s="32">
        <v>287.5</v>
      </c>
    </row>
    <row r="9432" spans="1:3" x14ac:dyDescent="0.25">
      <c r="A9432" s="12" t="str">
        <f>("30-0015")</f>
        <v>30-0015</v>
      </c>
      <c r="B9432" s="15" t="s">
        <v>14124</v>
      </c>
      <c r="C9432" s="32">
        <v>287.5</v>
      </c>
    </row>
    <row r="9433" spans="1:3" x14ac:dyDescent="0.25">
      <c r="A9433" s="12" t="str">
        <f>("30-0025")</f>
        <v>30-0025</v>
      </c>
      <c r="B9433" s="15" t="s">
        <v>14125</v>
      </c>
      <c r="C9433" s="32">
        <v>287.5</v>
      </c>
    </row>
    <row r="9434" spans="1:3" x14ac:dyDescent="0.25">
      <c r="A9434" s="12" t="str">
        <f>("30-1005")</f>
        <v>30-1005</v>
      </c>
      <c r="B9434" s="15" t="s">
        <v>14126</v>
      </c>
      <c r="C9434" s="32">
        <v>90</v>
      </c>
    </row>
    <row r="9435" spans="1:3" x14ac:dyDescent="0.25">
      <c r="A9435" s="12" t="str">
        <f>("30-1055")</f>
        <v>30-1055</v>
      </c>
      <c r="B9435" s="15" t="s">
        <v>14127</v>
      </c>
      <c r="C9435" s="32">
        <v>90</v>
      </c>
    </row>
    <row r="9436" spans="1:3" x14ac:dyDescent="0.25">
      <c r="A9436" s="12" t="str">
        <f>("30-1065")</f>
        <v>30-1065</v>
      </c>
      <c r="B9436" s="15" t="s">
        <v>14128</v>
      </c>
      <c r="C9436" s="32">
        <v>90</v>
      </c>
    </row>
    <row r="9437" spans="1:3" x14ac:dyDescent="0.25">
      <c r="A9437" s="12" t="str">
        <f>("30-1085")</f>
        <v>30-1085</v>
      </c>
      <c r="B9437" s="15" t="s">
        <v>14129</v>
      </c>
      <c r="C9437" s="32">
        <v>90</v>
      </c>
    </row>
    <row r="9438" spans="1:3" x14ac:dyDescent="0.25">
      <c r="A9438" s="12" t="str">
        <f>("30-1105")</f>
        <v>30-1105</v>
      </c>
      <c r="B9438" s="15" t="s">
        <v>14130</v>
      </c>
      <c r="C9438" s="32">
        <v>90</v>
      </c>
    </row>
    <row r="9439" spans="1:3" x14ac:dyDescent="0.25">
      <c r="A9439" s="12" t="str">
        <f>("30-1115")</f>
        <v>30-1115</v>
      </c>
      <c r="B9439" s="15" t="s">
        <v>14131</v>
      </c>
      <c r="C9439" s="32">
        <v>90</v>
      </c>
    </row>
    <row r="9440" spans="1:3" x14ac:dyDescent="0.25">
      <c r="A9440" s="12" t="str">
        <f>("30-1135")</f>
        <v>30-1135</v>
      </c>
      <c r="B9440" s="15" t="s">
        <v>14132</v>
      </c>
      <c r="C9440" s="32">
        <v>90</v>
      </c>
    </row>
    <row r="9441" spans="1:3" x14ac:dyDescent="0.25">
      <c r="A9441" s="12" t="str">
        <f>("30-1145")</f>
        <v>30-1145</v>
      </c>
      <c r="B9441" s="15" t="s">
        <v>14133</v>
      </c>
      <c r="C9441" s="32">
        <v>90</v>
      </c>
    </row>
    <row r="9442" spans="1:3" x14ac:dyDescent="0.25">
      <c r="A9442" s="12" t="str">
        <f>("30-1155")</f>
        <v>30-1155</v>
      </c>
      <c r="B9442" s="15" t="s">
        <v>14134</v>
      </c>
      <c r="C9442" s="32">
        <v>90</v>
      </c>
    </row>
    <row r="9443" spans="1:3" x14ac:dyDescent="0.25">
      <c r="A9443" s="12" t="str">
        <f>("30-1165")</f>
        <v>30-1165</v>
      </c>
      <c r="B9443" s="15" t="s">
        <v>14135</v>
      </c>
      <c r="C9443" s="32">
        <v>90</v>
      </c>
    </row>
    <row r="9444" spans="1:3" x14ac:dyDescent="0.25">
      <c r="A9444" s="12" t="str">
        <f>("30-1185")</f>
        <v>30-1185</v>
      </c>
      <c r="B9444" s="15" t="s">
        <v>14136</v>
      </c>
      <c r="C9444" s="32">
        <v>90</v>
      </c>
    </row>
    <row r="9445" spans="1:3" x14ac:dyDescent="0.25">
      <c r="A9445" s="12" t="str">
        <f>("30-1235")</f>
        <v>30-1235</v>
      </c>
      <c r="B9445" s="15" t="s">
        <v>14137</v>
      </c>
      <c r="C9445" s="32">
        <v>90</v>
      </c>
    </row>
    <row r="9446" spans="1:3" x14ac:dyDescent="0.25">
      <c r="A9446" s="12" t="str">
        <f>("30-1255")</f>
        <v>30-1255</v>
      </c>
      <c r="B9446" s="15" t="s">
        <v>14138</v>
      </c>
      <c r="C9446" s="32">
        <v>90</v>
      </c>
    </row>
    <row r="9447" spans="1:3" x14ac:dyDescent="0.25">
      <c r="A9447" s="12" t="str">
        <f>("30-1275")</f>
        <v>30-1275</v>
      </c>
      <c r="B9447" s="15" t="s">
        <v>14139</v>
      </c>
      <c r="C9447" s="32">
        <v>90</v>
      </c>
    </row>
    <row r="9448" spans="1:3" x14ac:dyDescent="0.25">
      <c r="A9448" s="12" t="str">
        <f>("30-1305")</f>
        <v>30-1305</v>
      </c>
      <c r="B9448" s="15" t="s">
        <v>14140</v>
      </c>
      <c r="C9448" s="32">
        <v>90</v>
      </c>
    </row>
    <row r="9449" spans="1:3" x14ac:dyDescent="0.25">
      <c r="A9449" s="12" t="str">
        <f>("30-1325")</f>
        <v>30-1325</v>
      </c>
      <c r="B9449" s="15" t="s">
        <v>14141</v>
      </c>
      <c r="C9449" s="32">
        <v>90</v>
      </c>
    </row>
    <row r="9450" spans="1:3" x14ac:dyDescent="0.25">
      <c r="A9450" s="12" t="str">
        <f>("30-1345")</f>
        <v>30-1345</v>
      </c>
      <c r="B9450" s="15" t="s">
        <v>14142</v>
      </c>
      <c r="C9450" s="32">
        <v>90</v>
      </c>
    </row>
    <row r="9451" spans="1:3" x14ac:dyDescent="0.25">
      <c r="A9451" s="12" t="str">
        <f>("30-1355")</f>
        <v>30-1355</v>
      </c>
      <c r="B9451" s="15" t="s">
        <v>14143</v>
      </c>
      <c r="C9451" s="32">
        <v>90</v>
      </c>
    </row>
    <row r="9452" spans="1:3" x14ac:dyDescent="0.25">
      <c r="A9452" s="12" t="str">
        <f>("30-1375")</f>
        <v>30-1375</v>
      </c>
      <c r="B9452" s="15" t="s">
        <v>14144</v>
      </c>
      <c r="C9452" s="32">
        <v>90</v>
      </c>
    </row>
    <row r="9453" spans="1:3" x14ac:dyDescent="0.25">
      <c r="A9453" s="12" t="str">
        <f>("30-1435")</f>
        <v>30-1435</v>
      </c>
      <c r="B9453" s="15" t="s">
        <v>14145</v>
      </c>
      <c r="C9453" s="32">
        <v>90</v>
      </c>
    </row>
    <row r="9454" spans="1:3" x14ac:dyDescent="0.25">
      <c r="A9454" s="12" t="str">
        <f>("31-3950")</f>
        <v>31-3950</v>
      </c>
      <c r="B9454" s="15" t="s">
        <v>14146</v>
      </c>
      <c r="C9454" s="32">
        <v>692.5</v>
      </c>
    </row>
    <row r="9455" spans="1:3" x14ac:dyDescent="0.25">
      <c r="A9455" s="12" t="str">
        <f>("31-3955")</f>
        <v>31-3955</v>
      </c>
      <c r="B9455" s="15" t="s">
        <v>14146</v>
      </c>
      <c r="C9455" s="32">
        <v>410</v>
      </c>
    </row>
    <row r="9456" spans="1:3" x14ac:dyDescent="0.25">
      <c r="A9456" s="12" t="str">
        <f>("31-3970")</f>
        <v>31-3970</v>
      </c>
      <c r="B9456" s="15" t="s">
        <v>14147</v>
      </c>
      <c r="C9456" s="32">
        <v>692.5</v>
      </c>
    </row>
    <row r="9457" spans="1:3" x14ac:dyDescent="0.25">
      <c r="A9457" s="12" t="str">
        <f>("31-3975")</f>
        <v>31-3975</v>
      </c>
      <c r="B9457" s="15" t="s">
        <v>14147</v>
      </c>
      <c r="C9457" s="32">
        <v>410</v>
      </c>
    </row>
    <row r="9458" spans="1:3" x14ac:dyDescent="0.25">
      <c r="A9458" s="12" t="str">
        <f>("31-3980")</f>
        <v>31-3980</v>
      </c>
      <c r="B9458" s="15" t="s">
        <v>14148</v>
      </c>
      <c r="C9458" s="32">
        <v>692.5</v>
      </c>
    </row>
    <row r="9459" spans="1:3" x14ac:dyDescent="0.25">
      <c r="A9459" s="12" t="str">
        <f>("31-3985")</f>
        <v>31-3985</v>
      </c>
      <c r="B9459" s="15" t="s">
        <v>14148</v>
      </c>
      <c r="C9459" s="32">
        <v>410</v>
      </c>
    </row>
    <row r="9460" spans="1:3" x14ac:dyDescent="0.25">
      <c r="A9460" s="12" t="str">
        <f>("31-4020")</f>
        <v>31-4020</v>
      </c>
      <c r="B9460" s="15" t="s">
        <v>14149</v>
      </c>
      <c r="C9460" s="32">
        <v>692.5</v>
      </c>
    </row>
    <row r="9461" spans="1:3" x14ac:dyDescent="0.25">
      <c r="A9461" s="12" t="str">
        <f>("31-4025")</f>
        <v>31-4025</v>
      </c>
      <c r="B9461" s="15" t="s">
        <v>14149</v>
      </c>
      <c r="C9461" s="32">
        <v>410</v>
      </c>
    </row>
    <row r="9462" spans="1:3" x14ac:dyDescent="0.25">
      <c r="A9462" s="12" t="str">
        <f>("31-5120")</f>
        <v>31-5120</v>
      </c>
      <c r="B9462" s="15" t="s">
        <v>14150</v>
      </c>
      <c r="C9462" s="32">
        <v>692.5</v>
      </c>
    </row>
    <row r="9463" spans="1:3" ht="31.5" x14ac:dyDescent="0.25">
      <c r="A9463" s="12" t="str">
        <f>("31-5170")</f>
        <v>31-5170</v>
      </c>
      <c r="B9463" s="15" t="s">
        <v>14151</v>
      </c>
      <c r="C9463" s="32">
        <v>692.5</v>
      </c>
    </row>
    <row r="9464" spans="1:3" ht="31.5" x14ac:dyDescent="0.25">
      <c r="A9464" s="12" t="str">
        <f>("31-5175")</f>
        <v>31-5175</v>
      </c>
      <c r="B9464" s="15" t="s">
        <v>14151</v>
      </c>
      <c r="C9464" s="32">
        <v>410</v>
      </c>
    </row>
    <row r="9465" spans="1:3" ht="31.5" x14ac:dyDescent="0.25">
      <c r="A9465" s="12" t="str">
        <f>("31-5240")</f>
        <v>31-5240</v>
      </c>
      <c r="B9465" s="15" t="s">
        <v>14152</v>
      </c>
      <c r="C9465" s="32">
        <v>692.5</v>
      </c>
    </row>
    <row r="9466" spans="1:3" x14ac:dyDescent="0.25">
      <c r="A9466" s="12" t="str">
        <f>("31-5250")</f>
        <v>31-5250</v>
      </c>
      <c r="B9466" s="15" t="s">
        <v>14153</v>
      </c>
      <c r="C9466" s="32">
        <v>692.5</v>
      </c>
    </row>
    <row r="9467" spans="1:3" x14ac:dyDescent="0.25">
      <c r="A9467" s="12" t="str">
        <f>("31-5255")</f>
        <v>31-5255</v>
      </c>
      <c r="B9467" s="15" t="s">
        <v>14154</v>
      </c>
      <c r="C9467" s="32">
        <v>410</v>
      </c>
    </row>
    <row r="9468" spans="1:3" x14ac:dyDescent="0.25">
      <c r="A9468" s="12" t="str">
        <f>("31-5270")</f>
        <v>31-5270</v>
      </c>
      <c r="B9468" s="15" t="s">
        <v>14155</v>
      </c>
      <c r="C9468" s="32">
        <v>692.5</v>
      </c>
    </row>
    <row r="9469" spans="1:3" x14ac:dyDescent="0.25">
      <c r="A9469" s="12" t="str">
        <f>("31-5275")</f>
        <v>31-5275</v>
      </c>
      <c r="B9469" s="15" t="s">
        <v>14155</v>
      </c>
      <c r="C9469" s="32">
        <v>410</v>
      </c>
    </row>
    <row r="9470" spans="1:3" x14ac:dyDescent="0.25">
      <c r="A9470" s="12" t="str">
        <f>("31-5370")</f>
        <v>31-5370</v>
      </c>
      <c r="B9470" s="15" t="s">
        <v>14156</v>
      </c>
      <c r="C9470" s="32">
        <v>692.5</v>
      </c>
    </row>
    <row r="9471" spans="1:3" x14ac:dyDescent="0.25">
      <c r="A9471" s="12" t="str">
        <f>("31-5490")</f>
        <v>31-5490</v>
      </c>
      <c r="B9471" s="15" t="s">
        <v>14157</v>
      </c>
      <c r="C9471" s="32">
        <v>692.5</v>
      </c>
    </row>
    <row r="9472" spans="1:3" x14ac:dyDescent="0.25">
      <c r="A9472" s="12" t="str">
        <f>("31-5495")</f>
        <v>31-5495</v>
      </c>
      <c r="B9472" s="15" t="s">
        <v>14157</v>
      </c>
      <c r="C9472" s="32">
        <v>410</v>
      </c>
    </row>
    <row r="9473" spans="1:3" x14ac:dyDescent="0.25">
      <c r="A9473" s="12" t="str">
        <f>("31-5550")</f>
        <v>31-5550</v>
      </c>
      <c r="B9473" s="15" t="s">
        <v>14158</v>
      </c>
      <c r="C9473" s="32">
        <v>692.5</v>
      </c>
    </row>
    <row r="9474" spans="1:3" x14ac:dyDescent="0.25">
      <c r="A9474" s="12" t="str">
        <f>("31-5555")</f>
        <v>31-5555</v>
      </c>
      <c r="B9474" s="15" t="s">
        <v>14158</v>
      </c>
      <c r="C9474" s="32">
        <v>410</v>
      </c>
    </row>
    <row r="9475" spans="1:3" x14ac:dyDescent="0.25">
      <c r="A9475" s="12" t="str">
        <f>("31-5600")</f>
        <v>31-5600</v>
      </c>
      <c r="B9475" s="15" t="s">
        <v>14159</v>
      </c>
      <c r="C9475" s="32">
        <v>692.5</v>
      </c>
    </row>
    <row r="9476" spans="1:3" x14ac:dyDescent="0.25">
      <c r="A9476" s="12" t="str">
        <f>("31-5605")</f>
        <v>31-5605</v>
      </c>
      <c r="B9476" s="15" t="s">
        <v>14159</v>
      </c>
      <c r="C9476" s="32">
        <v>410</v>
      </c>
    </row>
    <row r="9477" spans="1:3" x14ac:dyDescent="0.25">
      <c r="A9477" s="12" t="str">
        <f>("31-5610")</f>
        <v>31-5610</v>
      </c>
      <c r="B9477" s="15" t="s">
        <v>14160</v>
      </c>
      <c r="C9477" s="32">
        <v>692.5</v>
      </c>
    </row>
    <row r="9478" spans="1:3" x14ac:dyDescent="0.25">
      <c r="A9478" s="12" t="str">
        <f>("31-5615")</f>
        <v>31-5615</v>
      </c>
      <c r="B9478" s="15" t="s">
        <v>14160</v>
      </c>
      <c r="C9478" s="32">
        <v>410</v>
      </c>
    </row>
    <row r="9479" spans="1:3" x14ac:dyDescent="0.25">
      <c r="A9479" s="12" t="str">
        <f>("31-5630")</f>
        <v>31-5630</v>
      </c>
      <c r="B9479" s="15" t="s">
        <v>14161</v>
      </c>
      <c r="C9479" s="32">
        <v>692.5</v>
      </c>
    </row>
    <row r="9480" spans="1:3" x14ac:dyDescent="0.25">
      <c r="A9480" s="12" t="str">
        <f>("31-5900")</f>
        <v>31-5900</v>
      </c>
      <c r="B9480" s="15" t="s">
        <v>14162</v>
      </c>
      <c r="C9480" s="32">
        <v>692.5</v>
      </c>
    </row>
    <row r="9481" spans="1:3" x14ac:dyDescent="0.25">
      <c r="A9481" s="12" t="str">
        <f>("31-5905")</f>
        <v>31-5905</v>
      </c>
      <c r="B9481" s="15" t="s">
        <v>14162</v>
      </c>
      <c r="C9481" s="32">
        <v>410</v>
      </c>
    </row>
    <row r="9482" spans="1:3" x14ac:dyDescent="0.25">
      <c r="A9482" s="12" t="str">
        <f>("31-5960")</f>
        <v>31-5960</v>
      </c>
      <c r="B9482" s="15" t="s">
        <v>14163</v>
      </c>
      <c r="C9482" s="32">
        <v>692.5</v>
      </c>
    </row>
    <row r="9483" spans="1:3" x14ac:dyDescent="0.25">
      <c r="A9483" s="12" t="str">
        <f>("31-5965")</f>
        <v>31-5965</v>
      </c>
      <c r="B9483" s="15" t="s">
        <v>14163</v>
      </c>
      <c r="C9483" s="32">
        <v>410</v>
      </c>
    </row>
    <row r="9484" spans="1:3" x14ac:dyDescent="0.25">
      <c r="A9484" s="12" t="str">
        <f>("31-5990")</f>
        <v>31-5990</v>
      </c>
      <c r="B9484" s="15" t="s">
        <v>14164</v>
      </c>
      <c r="C9484" s="32">
        <v>692.5</v>
      </c>
    </row>
    <row r="9485" spans="1:3" x14ac:dyDescent="0.25">
      <c r="A9485" s="12" t="str">
        <f>("31-6000")</f>
        <v>31-6000</v>
      </c>
      <c r="B9485" s="15" t="s">
        <v>14165</v>
      </c>
      <c r="C9485" s="32">
        <v>692.5</v>
      </c>
    </row>
    <row r="9486" spans="1:3" x14ac:dyDescent="0.25">
      <c r="A9486" s="12" t="str">
        <f>("31-6005")</f>
        <v>31-6005</v>
      </c>
      <c r="B9486" s="15" t="s">
        <v>14165</v>
      </c>
      <c r="C9486" s="32">
        <v>410</v>
      </c>
    </row>
    <row r="9487" spans="1:3" x14ac:dyDescent="0.25">
      <c r="A9487" s="12" t="str">
        <f>("31-6010")</f>
        <v>31-6010</v>
      </c>
      <c r="B9487" s="15" t="s">
        <v>14166</v>
      </c>
      <c r="C9487" s="32">
        <v>692.5</v>
      </c>
    </row>
    <row r="9488" spans="1:3" x14ac:dyDescent="0.25">
      <c r="A9488" s="12" t="str">
        <f>("31-6015")</f>
        <v>31-6015</v>
      </c>
      <c r="B9488" s="15" t="s">
        <v>14166</v>
      </c>
      <c r="C9488" s="32">
        <v>410</v>
      </c>
    </row>
    <row r="9489" spans="1:3" x14ac:dyDescent="0.25">
      <c r="A9489" s="12" t="str">
        <f>("31-6025")</f>
        <v>31-6025</v>
      </c>
      <c r="B9489" s="15" t="s">
        <v>14167</v>
      </c>
      <c r="C9489" s="32">
        <v>410</v>
      </c>
    </row>
    <row r="9490" spans="1:3" x14ac:dyDescent="0.25">
      <c r="A9490" s="12" t="str">
        <f>("31-6035")</f>
        <v>31-6035</v>
      </c>
      <c r="B9490" s="15" t="s">
        <v>14168</v>
      </c>
      <c r="C9490" s="32">
        <v>410</v>
      </c>
    </row>
    <row r="9491" spans="1:3" x14ac:dyDescent="0.25">
      <c r="A9491" s="12" t="str">
        <f>("32-0045")</f>
        <v>32-0045</v>
      </c>
      <c r="B9491" s="15" t="s">
        <v>14169</v>
      </c>
      <c r="C9491" s="32">
        <v>53.75</v>
      </c>
    </row>
    <row r="9492" spans="1:3" x14ac:dyDescent="0.25">
      <c r="A9492" s="12" t="str">
        <f>("32-0055")</f>
        <v>32-0055</v>
      </c>
      <c r="B9492" s="15" t="s">
        <v>14170</v>
      </c>
      <c r="C9492" s="32">
        <v>46.25</v>
      </c>
    </row>
    <row r="9493" spans="1:3" x14ac:dyDescent="0.25">
      <c r="A9493" s="12" t="str">
        <f>("32-0065")</f>
        <v>32-0065</v>
      </c>
      <c r="B9493" s="15" t="s">
        <v>14171</v>
      </c>
      <c r="C9493" s="32">
        <v>46.25</v>
      </c>
    </row>
    <row r="9494" spans="1:3" x14ac:dyDescent="0.25">
      <c r="A9494" s="12" t="str">
        <f>("32-20005")</f>
        <v>32-20005</v>
      </c>
      <c r="B9494" s="15" t="s">
        <v>14172</v>
      </c>
      <c r="C9494" s="32">
        <v>78.75</v>
      </c>
    </row>
    <row r="9495" spans="1:3" x14ac:dyDescent="0.25">
      <c r="A9495" s="12" t="str">
        <f>("45-0010S-3")</f>
        <v>45-0010S-3</v>
      </c>
      <c r="B9495" s="15"/>
      <c r="C9495" s="32">
        <v>20</v>
      </c>
    </row>
    <row r="9496" spans="1:3" x14ac:dyDescent="0.25">
      <c r="A9496" s="12" t="str">
        <f>("32-1365")</f>
        <v>32-1365</v>
      </c>
      <c r="B9496" s="15" t="s">
        <v>14173</v>
      </c>
      <c r="C9496" s="32">
        <v>641.25</v>
      </c>
    </row>
    <row r="9497" spans="1:3" x14ac:dyDescent="0.25">
      <c r="A9497" s="12" t="str">
        <f>("32-1395")</f>
        <v>32-1395</v>
      </c>
      <c r="B9497" s="15" t="s">
        <v>14174</v>
      </c>
      <c r="C9497" s="32">
        <v>641.25</v>
      </c>
    </row>
    <row r="9498" spans="1:3" x14ac:dyDescent="0.25">
      <c r="A9498" s="12" t="str">
        <f>("32-1605")</f>
        <v>32-1605</v>
      </c>
      <c r="B9498" s="15" t="s">
        <v>14159</v>
      </c>
      <c r="C9498" s="32">
        <v>641.25</v>
      </c>
    </row>
    <row r="9499" spans="1:3" x14ac:dyDescent="0.25">
      <c r="A9499" s="12" t="str">
        <f>("32-1695")</f>
        <v>32-1695</v>
      </c>
      <c r="B9499" s="15" t="s">
        <v>14175</v>
      </c>
      <c r="C9499" s="32">
        <v>641.25</v>
      </c>
    </row>
    <row r="9500" spans="1:3" x14ac:dyDescent="0.25">
      <c r="A9500" s="12" t="str">
        <f>("32-2215")</f>
        <v>32-2215</v>
      </c>
      <c r="B9500" s="15" t="s">
        <v>13879</v>
      </c>
      <c r="C9500" s="32">
        <v>641.25</v>
      </c>
    </row>
    <row r="9501" spans="1:3" x14ac:dyDescent="0.25">
      <c r="A9501" s="12" t="str">
        <f>("32-2255")</f>
        <v>32-2255</v>
      </c>
      <c r="B9501" s="15" t="s">
        <v>14153</v>
      </c>
      <c r="C9501" s="32">
        <v>641.25</v>
      </c>
    </row>
    <row r="9502" spans="1:3" x14ac:dyDescent="0.25">
      <c r="A9502" s="12" t="str">
        <f>("32-2455")</f>
        <v>32-2455</v>
      </c>
      <c r="B9502" s="15" t="s">
        <v>14176</v>
      </c>
      <c r="C9502" s="32">
        <v>641.25</v>
      </c>
    </row>
    <row r="9503" spans="1:3" x14ac:dyDescent="0.25">
      <c r="A9503" s="12" t="str">
        <f>("32-3605")</f>
        <v>32-3605</v>
      </c>
      <c r="B9503" s="15" t="s">
        <v>14160</v>
      </c>
      <c r="C9503" s="32">
        <v>641.25</v>
      </c>
    </row>
    <row r="9504" spans="1:3" x14ac:dyDescent="0.25">
      <c r="A9504" s="12" t="str">
        <f>("32-3645")</f>
        <v>32-3645</v>
      </c>
      <c r="B9504" s="15" t="s">
        <v>14150</v>
      </c>
      <c r="C9504" s="32">
        <v>641.25</v>
      </c>
    </row>
    <row r="9505" spans="1:3" x14ac:dyDescent="0.25">
      <c r="A9505" s="12" t="str">
        <f>("32-3885")</f>
        <v>32-3885</v>
      </c>
      <c r="B9505" s="15" t="s">
        <v>14165</v>
      </c>
      <c r="C9505" s="32">
        <v>641.25</v>
      </c>
    </row>
    <row r="9506" spans="1:3" x14ac:dyDescent="0.25">
      <c r="A9506" s="12" t="str">
        <f>("32-3985")</f>
        <v>32-3985</v>
      </c>
      <c r="B9506" s="15" t="s">
        <v>14148</v>
      </c>
      <c r="C9506" s="32">
        <v>641.25</v>
      </c>
    </row>
    <row r="9507" spans="1:3" x14ac:dyDescent="0.25">
      <c r="A9507" s="12" t="str">
        <f>("32-3995")</f>
        <v>32-3995</v>
      </c>
      <c r="B9507" s="15" t="s">
        <v>14167</v>
      </c>
      <c r="C9507" s="32">
        <v>641.25</v>
      </c>
    </row>
    <row r="9508" spans="1:3" x14ac:dyDescent="0.25">
      <c r="A9508" s="12" t="str">
        <f>("32-1605L")</f>
        <v>32-1605L</v>
      </c>
      <c r="B9508" s="15" t="s">
        <v>14159</v>
      </c>
      <c r="C9508" s="32">
        <v>816.25</v>
      </c>
    </row>
    <row r="9509" spans="1:3" x14ac:dyDescent="0.25">
      <c r="A9509" s="12" t="str">
        <f>("32-1965L")</f>
        <v>32-1965L</v>
      </c>
      <c r="B9509" s="15" t="s">
        <v>14163</v>
      </c>
      <c r="C9509" s="32">
        <v>853.75</v>
      </c>
    </row>
    <row r="9510" spans="1:3" x14ac:dyDescent="0.25">
      <c r="A9510" s="12" t="str">
        <f>("32-2255L")</f>
        <v>32-2255L</v>
      </c>
      <c r="B9510" s="15" t="s">
        <v>14153</v>
      </c>
      <c r="C9510" s="32">
        <v>816.25</v>
      </c>
    </row>
    <row r="9511" spans="1:3" x14ac:dyDescent="0.25">
      <c r="A9511" s="12" t="str">
        <f>("32-2455L")</f>
        <v>32-2455L</v>
      </c>
      <c r="B9511" s="15" t="s">
        <v>14176</v>
      </c>
      <c r="C9511" s="32">
        <v>816.25</v>
      </c>
    </row>
    <row r="9512" spans="1:3" x14ac:dyDescent="0.25">
      <c r="A9512" s="12" t="str">
        <f>("32-3605L")</f>
        <v>32-3605L</v>
      </c>
      <c r="B9512" s="15" t="s">
        <v>14160</v>
      </c>
      <c r="C9512" s="32">
        <v>816.25</v>
      </c>
    </row>
    <row r="9513" spans="1:3" x14ac:dyDescent="0.25">
      <c r="A9513" s="12" t="str">
        <f>("32-3875L")</f>
        <v>32-3875L</v>
      </c>
      <c r="B9513" s="15" t="s">
        <v>14177</v>
      </c>
      <c r="C9513" s="32">
        <v>816.25</v>
      </c>
    </row>
    <row r="9514" spans="1:3" x14ac:dyDescent="0.25">
      <c r="A9514" s="12" t="str">
        <f>("32-3885L")</f>
        <v>32-3885L</v>
      </c>
      <c r="B9514" s="15" t="s">
        <v>14165</v>
      </c>
      <c r="C9514" s="32">
        <v>816.25</v>
      </c>
    </row>
    <row r="9515" spans="1:3" x14ac:dyDescent="0.25">
      <c r="A9515" s="12" t="str">
        <f>("32-3905L")</f>
        <v>32-3905L</v>
      </c>
      <c r="B9515" s="15" t="s">
        <v>14162</v>
      </c>
      <c r="C9515" s="32">
        <v>816.25</v>
      </c>
    </row>
    <row r="9516" spans="1:3" x14ac:dyDescent="0.25">
      <c r="A9516" s="12" t="str">
        <f>("32-3955L")</f>
        <v>32-3955L</v>
      </c>
      <c r="B9516" s="15" t="s">
        <v>14146</v>
      </c>
      <c r="C9516" s="32">
        <v>816.25</v>
      </c>
    </row>
    <row r="9517" spans="1:3" x14ac:dyDescent="0.25">
      <c r="A9517" s="12" t="str">
        <f>("32-3975L")</f>
        <v>32-3975L</v>
      </c>
      <c r="B9517" s="15" t="s">
        <v>14147</v>
      </c>
      <c r="C9517" s="32">
        <v>853.75</v>
      </c>
    </row>
    <row r="9518" spans="1:3" x14ac:dyDescent="0.25">
      <c r="A9518" s="12" t="str">
        <f>("32-3980L")</f>
        <v>32-3980L</v>
      </c>
      <c r="B9518" s="15" t="s">
        <v>14148</v>
      </c>
      <c r="C9518" s="32">
        <v>822.5</v>
      </c>
    </row>
    <row r="9519" spans="1:3" x14ac:dyDescent="0.25">
      <c r="A9519" s="12" t="str">
        <f>("32-4025L")</f>
        <v>32-4025L</v>
      </c>
      <c r="B9519" s="15" t="s">
        <v>14149</v>
      </c>
      <c r="C9519" s="32">
        <v>816.25</v>
      </c>
    </row>
    <row r="9520" spans="1:3" x14ac:dyDescent="0.25">
      <c r="A9520" s="12" t="str">
        <f>("32-4075L")</f>
        <v>32-4075L</v>
      </c>
      <c r="B9520" s="15" t="s">
        <v>14168</v>
      </c>
      <c r="C9520" s="32">
        <v>816.25</v>
      </c>
    </row>
    <row r="9521" spans="1:3" x14ac:dyDescent="0.25">
      <c r="A9521" s="12" t="str">
        <f>("37-711255")</f>
        <v>37-711255</v>
      </c>
      <c r="B9521" s="15" t="s">
        <v>14178</v>
      </c>
      <c r="C9521" s="32">
        <v>503.75</v>
      </c>
    </row>
    <row r="9522" spans="1:3" ht="31.5" x14ac:dyDescent="0.25">
      <c r="A9522" s="12" t="str">
        <f>("40-0005S")</f>
        <v>40-0005S</v>
      </c>
      <c r="B9522" s="15" t="s">
        <v>14179</v>
      </c>
      <c r="C9522" s="32">
        <v>135</v>
      </c>
    </row>
    <row r="9523" spans="1:3" x14ac:dyDescent="0.25">
      <c r="A9523" s="12" t="str">
        <f>("40-0015S")</f>
        <v>40-0015S</v>
      </c>
      <c r="B9523" s="15" t="s">
        <v>14180</v>
      </c>
      <c r="C9523" s="32">
        <v>135</v>
      </c>
    </row>
    <row r="9524" spans="1:3" x14ac:dyDescent="0.25">
      <c r="A9524" s="12" t="str">
        <f>("40-0045S")</f>
        <v>40-0045S</v>
      </c>
      <c r="B9524" s="15" t="s">
        <v>14181</v>
      </c>
      <c r="C9524" s="32">
        <v>135</v>
      </c>
    </row>
    <row r="9525" spans="1:3" ht="31.5" x14ac:dyDescent="0.25">
      <c r="A9525" s="12" t="str">
        <f>("45-0000S")</f>
        <v>45-0000S</v>
      </c>
      <c r="B9525" s="15" t="s">
        <v>14179</v>
      </c>
      <c r="C9525" s="32">
        <v>153.75</v>
      </c>
    </row>
    <row r="9526" spans="1:3" x14ac:dyDescent="0.25">
      <c r="A9526" s="12" t="str">
        <f>("45-0010S")</f>
        <v>45-0010S</v>
      </c>
      <c r="B9526" s="15" t="s">
        <v>14180</v>
      </c>
      <c r="C9526" s="32">
        <v>153.75</v>
      </c>
    </row>
    <row r="9527" spans="1:3" x14ac:dyDescent="0.25">
      <c r="A9527" s="12" t="str">
        <f>("45-0040S")</f>
        <v>45-0040S</v>
      </c>
      <c r="B9527" s="15" t="s">
        <v>14181</v>
      </c>
      <c r="C9527" s="32">
        <v>153.75</v>
      </c>
    </row>
    <row r="9528" spans="1:3" x14ac:dyDescent="0.25">
      <c r="A9528" s="12" t="str">
        <f>("58-40005")</f>
        <v>58-40005</v>
      </c>
      <c r="B9528" s="15" t="s">
        <v>14182</v>
      </c>
      <c r="C9528" s="32">
        <v>51.25</v>
      </c>
    </row>
    <row r="9529" spans="1:3" x14ac:dyDescent="0.25">
      <c r="A9529" s="12" t="str">
        <f>("58-40015")</f>
        <v>58-40015</v>
      </c>
      <c r="B9529" s="15" t="s">
        <v>14183</v>
      </c>
      <c r="C9529" s="32">
        <v>57.5</v>
      </c>
    </row>
    <row r="9530" spans="1:3" x14ac:dyDescent="0.25">
      <c r="A9530" s="12" t="str">
        <f>("58-40035")</f>
        <v>58-40035</v>
      </c>
      <c r="B9530" s="15" t="s">
        <v>14184</v>
      </c>
      <c r="C9530" s="32">
        <v>57.5</v>
      </c>
    </row>
    <row r="9531" spans="1:3" x14ac:dyDescent="0.25">
      <c r="A9531" s="12" t="str">
        <f>("40-0145")</f>
        <v>40-0145</v>
      </c>
      <c r="B9531" s="15" t="s">
        <v>14185</v>
      </c>
      <c r="C9531" s="32">
        <v>1221.25</v>
      </c>
    </row>
    <row r="9532" spans="1:3" x14ac:dyDescent="0.25">
      <c r="A9532" s="12" t="str">
        <f>("40-0185")</f>
        <v>40-0185</v>
      </c>
      <c r="B9532" s="15" t="s">
        <v>14186</v>
      </c>
      <c r="C9532" s="32">
        <v>1221.25</v>
      </c>
    </row>
    <row r="9533" spans="1:3" x14ac:dyDescent="0.25">
      <c r="A9533" s="12" t="str">
        <f>("40-0225")</f>
        <v>40-0225</v>
      </c>
      <c r="B9533" s="15" t="s">
        <v>14187</v>
      </c>
      <c r="C9533" s="32">
        <v>1221.25</v>
      </c>
    </row>
    <row r="9534" spans="1:3" x14ac:dyDescent="0.25">
      <c r="A9534" s="12" t="str">
        <f>("40-0245")</f>
        <v>40-0245</v>
      </c>
      <c r="B9534" s="15" t="s">
        <v>14188</v>
      </c>
      <c r="C9534" s="32">
        <v>1221.25</v>
      </c>
    </row>
    <row r="9535" spans="1:3" x14ac:dyDescent="0.25">
      <c r="A9535" s="12" t="str">
        <f>("40-0335")</f>
        <v>40-0335</v>
      </c>
      <c r="B9535" s="15" t="s">
        <v>14189</v>
      </c>
      <c r="C9535" s="32">
        <v>1221.25</v>
      </c>
    </row>
    <row r="9536" spans="1:3" x14ac:dyDescent="0.25">
      <c r="A9536" s="12" t="str">
        <f>("40-0805")</f>
        <v>40-0805</v>
      </c>
      <c r="B9536" s="15" t="s">
        <v>14190</v>
      </c>
      <c r="C9536" s="32">
        <v>1221.25</v>
      </c>
    </row>
    <row r="9537" spans="1:3" x14ac:dyDescent="0.25">
      <c r="A9537" s="12" t="str">
        <f>("40-0885")</f>
        <v>40-0885</v>
      </c>
      <c r="B9537" s="15" t="s">
        <v>14191</v>
      </c>
      <c r="C9537" s="32">
        <v>1221.25</v>
      </c>
    </row>
    <row r="9538" spans="1:3" x14ac:dyDescent="0.25">
      <c r="A9538" s="12" t="str">
        <f>("40-0905")</f>
        <v>40-0905</v>
      </c>
      <c r="B9538" s="15" t="s">
        <v>14192</v>
      </c>
      <c r="C9538" s="32">
        <v>1221.25</v>
      </c>
    </row>
    <row r="9539" spans="1:3" x14ac:dyDescent="0.25">
      <c r="A9539" s="12" t="str">
        <f>("40-1205")</f>
        <v>40-1205</v>
      </c>
      <c r="B9539" s="15" t="s">
        <v>14193</v>
      </c>
      <c r="C9539" s="32">
        <v>1221.25</v>
      </c>
    </row>
    <row r="9540" spans="1:3" x14ac:dyDescent="0.25">
      <c r="A9540" s="12" t="str">
        <f>("40-1225")</f>
        <v>40-1225</v>
      </c>
      <c r="B9540" s="15" t="s">
        <v>14194</v>
      </c>
      <c r="C9540" s="32">
        <v>1221.25</v>
      </c>
    </row>
    <row r="9541" spans="1:3" x14ac:dyDescent="0.25">
      <c r="A9541" s="12" t="str">
        <f>("40-1245")</f>
        <v>40-1245</v>
      </c>
      <c r="B9541" s="15" t="s">
        <v>14195</v>
      </c>
      <c r="C9541" s="32">
        <v>1221.25</v>
      </c>
    </row>
    <row r="9542" spans="1:3" x14ac:dyDescent="0.25">
      <c r="A9542" s="12" t="str">
        <f>("40-1365")</f>
        <v>40-1365</v>
      </c>
      <c r="B9542" s="15" t="s">
        <v>14196</v>
      </c>
      <c r="C9542" s="32">
        <v>1221.25</v>
      </c>
    </row>
    <row r="9543" spans="1:3" x14ac:dyDescent="0.25">
      <c r="A9543" s="12" t="str">
        <f>("40-1485")</f>
        <v>40-1485</v>
      </c>
      <c r="B9543" s="15" t="s">
        <v>14197</v>
      </c>
      <c r="C9543" s="32">
        <v>1061.25</v>
      </c>
    </row>
    <row r="9544" spans="1:3" x14ac:dyDescent="0.25">
      <c r="A9544" s="12" t="str">
        <f>("40-1515")</f>
        <v>40-1515</v>
      </c>
      <c r="B9544" s="15" t="s">
        <v>14198</v>
      </c>
      <c r="C9544" s="32">
        <v>1221.25</v>
      </c>
    </row>
    <row r="9545" spans="1:3" x14ac:dyDescent="0.25">
      <c r="A9545" s="12" t="str">
        <f>("40-1605")</f>
        <v>40-1605</v>
      </c>
      <c r="B9545" s="15" t="s">
        <v>14159</v>
      </c>
      <c r="C9545" s="32">
        <v>1221.25</v>
      </c>
    </row>
    <row r="9546" spans="1:3" x14ac:dyDescent="0.25">
      <c r="A9546" s="12" t="str">
        <f>("40-1645")</f>
        <v>40-1645</v>
      </c>
      <c r="B9546" s="15" t="s">
        <v>14199</v>
      </c>
      <c r="C9546" s="32">
        <v>1221.25</v>
      </c>
    </row>
    <row r="9547" spans="1:3" x14ac:dyDescent="0.25">
      <c r="A9547" s="12" t="str">
        <f>("40-1955")</f>
        <v>40-1955</v>
      </c>
      <c r="B9547" s="15" t="s">
        <v>14200</v>
      </c>
      <c r="C9547" s="32">
        <v>1221.25</v>
      </c>
    </row>
    <row r="9548" spans="1:3" x14ac:dyDescent="0.25">
      <c r="A9548" s="12" t="str">
        <f>("40-2075")</f>
        <v>40-2075</v>
      </c>
      <c r="B9548" s="15" t="s">
        <v>14201</v>
      </c>
      <c r="C9548" s="32">
        <v>1221.25</v>
      </c>
    </row>
    <row r="9549" spans="1:3" x14ac:dyDescent="0.25">
      <c r="A9549" s="12" t="str">
        <f>("40-2135")</f>
        <v>40-2135</v>
      </c>
      <c r="B9549" s="15" t="s">
        <v>14202</v>
      </c>
      <c r="C9549" s="32">
        <v>1221.25</v>
      </c>
    </row>
    <row r="9550" spans="1:3" x14ac:dyDescent="0.25">
      <c r="A9550" s="12" t="str">
        <f>("40-2215")</f>
        <v>40-2215</v>
      </c>
      <c r="B9550" s="15" t="s">
        <v>13879</v>
      </c>
      <c r="C9550" s="32">
        <v>1221.25</v>
      </c>
    </row>
    <row r="9551" spans="1:3" x14ac:dyDescent="0.25">
      <c r="A9551" s="12" t="str">
        <f>("40-2275")</f>
        <v>40-2275</v>
      </c>
      <c r="B9551" s="15" t="s">
        <v>14203</v>
      </c>
      <c r="C9551" s="32">
        <v>1282.5</v>
      </c>
    </row>
    <row r="9552" spans="1:3" x14ac:dyDescent="0.25">
      <c r="A9552" s="12" t="str">
        <f>("40-3625")</f>
        <v>40-3625</v>
      </c>
      <c r="B9552" s="15" t="s">
        <v>14204</v>
      </c>
      <c r="C9552" s="32">
        <v>1282.5</v>
      </c>
    </row>
    <row r="9553" spans="1:3" x14ac:dyDescent="0.25">
      <c r="A9553" s="12" t="str">
        <f>("40-3805")</f>
        <v>40-3805</v>
      </c>
      <c r="B9553" s="15" t="s">
        <v>14205</v>
      </c>
      <c r="C9553" s="32">
        <v>1282.5</v>
      </c>
    </row>
    <row r="9554" spans="1:3" x14ac:dyDescent="0.25">
      <c r="A9554" s="12" t="str">
        <f>("40-3825")</f>
        <v>40-3825</v>
      </c>
      <c r="B9554" s="15" t="s">
        <v>14206</v>
      </c>
      <c r="C9554" s="32">
        <v>1221.25</v>
      </c>
    </row>
    <row r="9555" spans="1:3" x14ac:dyDescent="0.25">
      <c r="A9555" s="12" t="str">
        <f>("40-3835")</f>
        <v>40-3835</v>
      </c>
      <c r="B9555" s="15" t="s">
        <v>14207</v>
      </c>
      <c r="C9555" s="32">
        <v>1282.5</v>
      </c>
    </row>
    <row r="9556" spans="1:3" x14ac:dyDescent="0.25">
      <c r="A9556" s="12" t="str">
        <f>("40-3845")</f>
        <v>40-3845</v>
      </c>
      <c r="B9556" s="15" t="s">
        <v>14208</v>
      </c>
      <c r="C9556" s="32">
        <v>1221.25</v>
      </c>
    </row>
    <row r="9557" spans="1:3" x14ac:dyDescent="0.25">
      <c r="A9557" s="12" t="str">
        <f>("40-3885")</f>
        <v>40-3885</v>
      </c>
      <c r="B9557" s="15" t="s">
        <v>14165</v>
      </c>
      <c r="C9557" s="32">
        <v>1282.5</v>
      </c>
    </row>
    <row r="9558" spans="1:3" x14ac:dyDescent="0.25">
      <c r="A9558" s="12" t="str">
        <f>("40-3955")</f>
        <v>40-3955</v>
      </c>
      <c r="B9558" s="15" t="s">
        <v>14209</v>
      </c>
      <c r="C9558" s="32">
        <v>1282.5</v>
      </c>
    </row>
    <row r="9559" spans="1:3" x14ac:dyDescent="0.25">
      <c r="A9559" s="12" t="str">
        <f>("40-3975")</f>
        <v>40-3975</v>
      </c>
      <c r="B9559" s="15" t="s">
        <v>14210</v>
      </c>
      <c r="C9559" s="32">
        <v>1282.5</v>
      </c>
    </row>
    <row r="9560" spans="1:3" ht="31.5" x14ac:dyDescent="0.25">
      <c r="A9560" s="12" t="str">
        <f>("40-13005")</f>
        <v>40-13005</v>
      </c>
      <c r="B9560" s="15" t="s">
        <v>14211</v>
      </c>
      <c r="C9560" s="32">
        <v>92.5</v>
      </c>
    </row>
    <row r="9561" spans="1:3" x14ac:dyDescent="0.25">
      <c r="A9561" s="12" t="str">
        <f>("40-13015")</f>
        <v>40-13015</v>
      </c>
      <c r="B9561" s="15" t="s">
        <v>14212</v>
      </c>
      <c r="C9561" s="32">
        <v>92.5</v>
      </c>
    </row>
    <row r="9562" spans="1:3" x14ac:dyDescent="0.25">
      <c r="A9562" s="12" t="str">
        <f>("40-13025")</f>
        <v>40-13025</v>
      </c>
      <c r="B9562" s="15" t="s">
        <v>14213</v>
      </c>
      <c r="C9562" s="32">
        <v>92.5</v>
      </c>
    </row>
    <row r="9563" spans="1:3" x14ac:dyDescent="0.25">
      <c r="A9563" s="12" t="str">
        <f>("40-13035")</f>
        <v>40-13035</v>
      </c>
      <c r="B9563" s="15" t="s">
        <v>14214</v>
      </c>
      <c r="C9563" s="32">
        <v>92.5</v>
      </c>
    </row>
    <row r="9564" spans="1:3" ht="31.5" x14ac:dyDescent="0.25">
      <c r="A9564" s="12" t="str">
        <f>("40-21005")</f>
        <v>40-21005</v>
      </c>
      <c r="B9564" s="15" t="s">
        <v>14215</v>
      </c>
      <c r="C9564" s="32">
        <v>151.25</v>
      </c>
    </row>
    <row r="9565" spans="1:3" x14ac:dyDescent="0.25">
      <c r="A9565" s="12" t="str">
        <f>("40-21015")</f>
        <v>40-21015</v>
      </c>
      <c r="B9565" s="15" t="s">
        <v>14177</v>
      </c>
      <c r="C9565" s="32">
        <v>151.25</v>
      </c>
    </row>
    <row r="9566" spans="1:3" x14ac:dyDescent="0.25">
      <c r="A9566" s="12" t="str">
        <f>("40-21025")</f>
        <v>40-21025</v>
      </c>
      <c r="B9566" s="15" t="s">
        <v>14163</v>
      </c>
      <c r="C9566" s="32">
        <v>151.25</v>
      </c>
    </row>
    <row r="9567" spans="1:3" x14ac:dyDescent="0.25">
      <c r="A9567" s="12" t="str">
        <f>("40-23005")</f>
        <v>40-23005</v>
      </c>
      <c r="B9567" s="15" t="s">
        <v>14216</v>
      </c>
      <c r="C9567" s="32">
        <v>505</v>
      </c>
    </row>
    <row r="9568" spans="1:3" x14ac:dyDescent="0.25">
      <c r="A9568" s="12" t="str">
        <f>("40-32075")</f>
        <v>40-32075</v>
      </c>
      <c r="B9568" s="15" t="s">
        <v>14201</v>
      </c>
      <c r="C9568" s="32">
        <v>1378.75</v>
      </c>
    </row>
    <row r="9569" spans="1:3" x14ac:dyDescent="0.25">
      <c r="A9569" s="12" t="str">
        <f>("40-33545")</f>
        <v>40-33545</v>
      </c>
      <c r="B9569" s="15" t="s">
        <v>14163</v>
      </c>
      <c r="C9569" s="32">
        <v>1378.75</v>
      </c>
    </row>
    <row r="9570" spans="1:3" x14ac:dyDescent="0.25">
      <c r="A9570" s="12" t="str">
        <f>("40-33705")</f>
        <v>40-33705</v>
      </c>
      <c r="B9570" s="15" t="s">
        <v>14217</v>
      </c>
      <c r="C9570" s="32">
        <v>1378.75</v>
      </c>
    </row>
    <row r="9571" spans="1:3" x14ac:dyDescent="0.25">
      <c r="A9571" s="12" t="str">
        <f>("40-33815")</f>
        <v>40-33815</v>
      </c>
      <c r="B9571" s="15" t="s">
        <v>14218</v>
      </c>
      <c r="C9571" s="32">
        <v>1378.75</v>
      </c>
    </row>
    <row r="9572" spans="1:3" x14ac:dyDescent="0.25">
      <c r="A9572" s="12" t="str">
        <f>("40-33825")</f>
        <v>40-33825</v>
      </c>
      <c r="B9572" s="15" t="s">
        <v>14206</v>
      </c>
      <c r="C9572" s="32">
        <v>1378.75</v>
      </c>
    </row>
    <row r="9573" spans="1:3" x14ac:dyDescent="0.25">
      <c r="A9573" s="12" t="str">
        <f>("40-33835")</f>
        <v>40-33835</v>
      </c>
      <c r="B9573" s="15" t="s">
        <v>14207</v>
      </c>
      <c r="C9573" s="32">
        <v>1378.75</v>
      </c>
    </row>
    <row r="9574" spans="1:3" x14ac:dyDescent="0.25">
      <c r="A9574" s="12" t="str">
        <f>("40-33845")</f>
        <v>40-33845</v>
      </c>
      <c r="B9574" s="15" t="s">
        <v>14219</v>
      </c>
      <c r="C9574" s="32">
        <v>1378.75</v>
      </c>
    </row>
    <row r="9575" spans="1:3" x14ac:dyDescent="0.25">
      <c r="A9575" s="12" t="str">
        <f>("40-33875")</f>
        <v>40-33875</v>
      </c>
      <c r="B9575" s="15" t="s">
        <v>14177</v>
      </c>
      <c r="C9575" s="32">
        <v>1378.75</v>
      </c>
    </row>
    <row r="9576" spans="1:3" x14ac:dyDescent="0.25">
      <c r="A9576" s="12" t="str">
        <f>("40-33885")</f>
        <v>40-33885</v>
      </c>
      <c r="B9576" s="15" t="s">
        <v>14165</v>
      </c>
      <c r="C9576" s="32">
        <v>1378.75</v>
      </c>
    </row>
    <row r="9577" spans="1:3" x14ac:dyDescent="0.25">
      <c r="A9577" s="12" t="str">
        <f>("40-33955")</f>
        <v>40-33955</v>
      </c>
      <c r="B9577" s="15" t="s">
        <v>14220</v>
      </c>
      <c r="C9577" s="32">
        <v>1378.75</v>
      </c>
    </row>
    <row r="9578" spans="1:3" x14ac:dyDescent="0.25">
      <c r="A9578" s="12" t="str">
        <f>("40-33975")</f>
        <v>40-33975</v>
      </c>
      <c r="B9578" s="15" t="s">
        <v>14221</v>
      </c>
      <c r="C9578" s="32">
        <v>1378.75</v>
      </c>
    </row>
    <row r="9579" spans="1:3" x14ac:dyDescent="0.25">
      <c r="A9579" s="12" t="str">
        <f>("40-33995")</f>
        <v>40-33995</v>
      </c>
      <c r="B9579" s="15" t="s">
        <v>14167</v>
      </c>
      <c r="C9579" s="32">
        <v>1378.75</v>
      </c>
    </row>
    <row r="9580" spans="1:3" x14ac:dyDescent="0.25">
      <c r="A9580" s="12" t="str">
        <f>("40-34025")</f>
        <v>40-34025</v>
      </c>
      <c r="B9580" s="15" t="s">
        <v>14222</v>
      </c>
      <c r="C9580" s="32">
        <v>1378.75</v>
      </c>
    </row>
    <row r="9581" spans="1:3" x14ac:dyDescent="0.25">
      <c r="A9581" s="12" t="str">
        <f>("58-30005")</f>
        <v>58-30005</v>
      </c>
      <c r="B9581" s="15" t="s">
        <v>14223</v>
      </c>
      <c r="C9581" s="32">
        <v>167.5</v>
      </c>
    </row>
    <row r="9582" spans="1:3" x14ac:dyDescent="0.25">
      <c r="A9582" s="12" t="str">
        <f>("42-6005")</f>
        <v>42-6005</v>
      </c>
      <c r="B9582" s="15" t="s">
        <v>14224</v>
      </c>
      <c r="C9582" s="32">
        <v>681.25</v>
      </c>
    </row>
    <row r="9583" spans="1:3" x14ac:dyDescent="0.25">
      <c r="A9583" s="12" t="str">
        <f>("42-6015")</f>
        <v>42-6015</v>
      </c>
      <c r="B9583" s="15" t="s">
        <v>13717</v>
      </c>
      <c r="C9583" s="32">
        <v>780</v>
      </c>
    </row>
    <row r="9584" spans="1:3" x14ac:dyDescent="0.25">
      <c r="A9584" s="12" t="str">
        <f>("42-6025")</f>
        <v>42-6025</v>
      </c>
      <c r="B9584" s="15" t="s">
        <v>13726</v>
      </c>
      <c r="C9584" s="32">
        <v>780</v>
      </c>
    </row>
    <row r="9585" spans="1:3" x14ac:dyDescent="0.25">
      <c r="A9585" s="12" t="str">
        <f>("42-7015")</f>
        <v>42-7015</v>
      </c>
      <c r="B9585" s="15" t="s">
        <v>13717</v>
      </c>
      <c r="C9585" s="32">
        <v>975</v>
      </c>
    </row>
    <row r="9586" spans="1:3" x14ac:dyDescent="0.25">
      <c r="A9586" s="12" t="str">
        <f>("42-21005")</f>
        <v>42-21005</v>
      </c>
      <c r="B9586" s="15" t="s">
        <v>14224</v>
      </c>
      <c r="C9586" s="32">
        <v>447.5</v>
      </c>
    </row>
    <row r="9587" spans="1:3" x14ac:dyDescent="0.25">
      <c r="A9587" s="12" t="str">
        <f>("42-21015")</f>
        <v>42-21015</v>
      </c>
      <c r="B9587" s="15" t="s">
        <v>14225</v>
      </c>
      <c r="C9587" s="32">
        <v>311.25</v>
      </c>
    </row>
    <row r="9588" spans="1:3" x14ac:dyDescent="0.25">
      <c r="A9588" s="12" t="str">
        <f>("42-21025")</f>
        <v>42-21025</v>
      </c>
      <c r="B9588" s="15" t="s">
        <v>13704</v>
      </c>
      <c r="C9588" s="32">
        <v>331.25</v>
      </c>
    </row>
    <row r="9589" spans="1:3" x14ac:dyDescent="0.25">
      <c r="A9589" s="12" t="str">
        <f>("42-21035")</f>
        <v>42-21035</v>
      </c>
      <c r="B9589" s="15" t="s">
        <v>14225</v>
      </c>
      <c r="C9589" s="32">
        <v>115</v>
      </c>
    </row>
    <row r="9590" spans="1:3" x14ac:dyDescent="0.25">
      <c r="A9590" s="12" t="str">
        <f>("42-21045")</f>
        <v>42-21045</v>
      </c>
      <c r="B9590" s="15" t="s">
        <v>13704</v>
      </c>
      <c r="C9590" s="32">
        <v>427.5</v>
      </c>
    </row>
    <row r="9591" spans="1:3" x14ac:dyDescent="0.25">
      <c r="A9591" s="12" t="str">
        <f>("42-21055")</f>
        <v>42-21055</v>
      </c>
      <c r="B9591" s="15" t="s">
        <v>13717</v>
      </c>
      <c r="C9591" s="32">
        <v>681.25</v>
      </c>
    </row>
    <row r="9592" spans="1:3" x14ac:dyDescent="0.25">
      <c r="A9592" s="12" t="str">
        <f>("42-21075")</f>
        <v>42-21075</v>
      </c>
      <c r="B9592" s="15" t="s">
        <v>14226</v>
      </c>
      <c r="C9592" s="32">
        <v>322.5</v>
      </c>
    </row>
    <row r="9593" spans="1:3" x14ac:dyDescent="0.25">
      <c r="A9593" s="12" t="str">
        <f>("42-21085")</f>
        <v>42-21085</v>
      </c>
      <c r="B9593" s="15" t="s">
        <v>14227</v>
      </c>
      <c r="C9593" s="32">
        <v>331.25</v>
      </c>
    </row>
    <row r="9594" spans="1:3" ht="31.5" x14ac:dyDescent="0.25">
      <c r="A9594" s="12" t="str">
        <f>("42-21095")</f>
        <v>42-21095</v>
      </c>
      <c r="B9594" s="15" t="s">
        <v>14228</v>
      </c>
      <c r="C9594" s="32">
        <v>247.5</v>
      </c>
    </row>
    <row r="9595" spans="1:3" x14ac:dyDescent="0.25">
      <c r="A9595" s="12" t="str">
        <f>("42-21105")</f>
        <v>42-21105</v>
      </c>
      <c r="B9595" s="15" t="s">
        <v>14229</v>
      </c>
      <c r="C9595" s="32">
        <v>427.5</v>
      </c>
    </row>
    <row r="9596" spans="1:3" x14ac:dyDescent="0.25">
      <c r="A9596" s="12" t="str">
        <f>("42-21115")</f>
        <v>42-21115</v>
      </c>
      <c r="B9596" s="15" t="s">
        <v>14230</v>
      </c>
      <c r="C9596" s="32">
        <v>681.25</v>
      </c>
    </row>
    <row r="9597" spans="1:3" x14ac:dyDescent="0.25">
      <c r="A9597" s="12" t="str">
        <f>("42-21125")</f>
        <v>42-21125</v>
      </c>
      <c r="B9597" s="15" t="s">
        <v>14231</v>
      </c>
      <c r="C9597" s="32">
        <v>331.25</v>
      </c>
    </row>
    <row r="9598" spans="1:3" x14ac:dyDescent="0.25">
      <c r="A9598" s="12" t="str">
        <f>("46-21175")</f>
        <v>46-21175</v>
      </c>
      <c r="B9598" s="15" t="s">
        <v>14232</v>
      </c>
      <c r="C9598" s="32">
        <v>768.75</v>
      </c>
    </row>
    <row r="9599" spans="1:3" x14ac:dyDescent="0.25">
      <c r="A9599" s="12" t="str">
        <f>("46-21245")</f>
        <v>46-21245</v>
      </c>
      <c r="B9599" s="15" t="s">
        <v>14233</v>
      </c>
      <c r="C9599" s="32">
        <v>491.25</v>
      </c>
    </row>
    <row r="9600" spans="1:3" x14ac:dyDescent="0.25">
      <c r="A9600" s="12" t="str">
        <f>("46-21605")</f>
        <v>46-21605</v>
      </c>
      <c r="B9600" s="15" t="s">
        <v>14159</v>
      </c>
      <c r="C9600" s="32">
        <v>656.25</v>
      </c>
    </row>
    <row r="9601" spans="1:3" x14ac:dyDescent="0.25">
      <c r="A9601" s="12" t="str">
        <f>("46-22235")</f>
        <v>46-22235</v>
      </c>
      <c r="B9601" s="15" t="s">
        <v>14234</v>
      </c>
      <c r="C9601" s="32">
        <v>576.25</v>
      </c>
    </row>
    <row r="9602" spans="1:3" x14ac:dyDescent="0.25">
      <c r="A9602" s="12" t="str">
        <f>("46-22275")</f>
        <v>46-22275</v>
      </c>
      <c r="B9602" s="15" t="s">
        <v>14155</v>
      </c>
      <c r="C9602" s="32">
        <v>467.5</v>
      </c>
    </row>
    <row r="9603" spans="1:3" x14ac:dyDescent="0.25">
      <c r="A9603" s="12" t="str">
        <f>("46-23555")</f>
        <v>46-23555</v>
      </c>
      <c r="B9603" s="15" t="s">
        <v>14235</v>
      </c>
      <c r="C9603" s="32">
        <v>528.75</v>
      </c>
    </row>
    <row r="9604" spans="1:3" x14ac:dyDescent="0.25">
      <c r="A9604" s="12" t="str">
        <f>("46-23685")</f>
        <v>46-23685</v>
      </c>
      <c r="B9604" s="15" t="s">
        <v>14236</v>
      </c>
      <c r="C9604" s="32">
        <v>528.75</v>
      </c>
    </row>
    <row r="9605" spans="1:3" x14ac:dyDescent="0.25">
      <c r="A9605" s="12" t="str">
        <f>("46-23715")</f>
        <v>46-23715</v>
      </c>
      <c r="B9605" s="15" t="s">
        <v>14237</v>
      </c>
      <c r="C9605" s="32">
        <v>528.75</v>
      </c>
    </row>
    <row r="9606" spans="1:3" x14ac:dyDescent="0.25">
      <c r="A9606" s="12" t="str">
        <f>("46-23735")</f>
        <v>46-23735</v>
      </c>
      <c r="B9606" s="15" t="s">
        <v>14238</v>
      </c>
      <c r="C9606" s="32">
        <v>768.75</v>
      </c>
    </row>
    <row r="9607" spans="1:3" x14ac:dyDescent="0.25">
      <c r="A9607" s="12" t="str">
        <f>("46-23745")</f>
        <v>46-23745</v>
      </c>
      <c r="B9607" s="15" t="s">
        <v>14157</v>
      </c>
      <c r="C9607" s="32">
        <v>576.25</v>
      </c>
    </row>
    <row r="9608" spans="1:3" x14ac:dyDescent="0.25">
      <c r="A9608" s="12" t="str">
        <f>("46-23755")</f>
        <v>46-23755</v>
      </c>
      <c r="B9608" s="15" t="s">
        <v>14239</v>
      </c>
      <c r="C9608" s="32">
        <v>768.75</v>
      </c>
    </row>
    <row r="9609" spans="1:3" x14ac:dyDescent="0.25">
      <c r="A9609" s="12" t="str">
        <f>("46-23785")</f>
        <v>46-23785</v>
      </c>
      <c r="B9609" s="15" t="s">
        <v>14240</v>
      </c>
      <c r="C9609" s="32">
        <v>576.25</v>
      </c>
    </row>
    <row r="9610" spans="1:3" x14ac:dyDescent="0.25">
      <c r="A9610" s="12" t="str">
        <f>("46-23805")</f>
        <v>46-23805</v>
      </c>
      <c r="B9610" s="15" t="s">
        <v>14205</v>
      </c>
      <c r="C9610" s="32">
        <v>768.75</v>
      </c>
    </row>
    <row r="9611" spans="1:3" x14ac:dyDescent="0.25">
      <c r="A9611" s="12" t="str">
        <f>("46-23835")</f>
        <v>46-23835</v>
      </c>
      <c r="B9611" s="15" t="s">
        <v>14241</v>
      </c>
      <c r="C9611" s="32">
        <v>576.25</v>
      </c>
    </row>
    <row r="9612" spans="1:3" x14ac:dyDescent="0.25">
      <c r="A9612" s="12" t="str">
        <f>("46-23845")</f>
        <v>46-23845</v>
      </c>
      <c r="B9612" s="15" t="s">
        <v>14242</v>
      </c>
      <c r="C9612" s="32">
        <v>656.25</v>
      </c>
    </row>
    <row r="9613" spans="1:3" x14ac:dyDescent="0.25">
      <c r="A9613" s="12" t="str">
        <f>("46-23875")</f>
        <v>46-23875</v>
      </c>
      <c r="B9613" s="15" t="s">
        <v>14177</v>
      </c>
      <c r="C9613" s="32">
        <v>576.25</v>
      </c>
    </row>
    <row r="9614" spans="1:3" x14ac:dyDescent="0.25">
      <c r="A9614" s="12" t="str">
        <f>("46-23885")</f>
        <v>46-23885</v>
      </c>
      <c r="B9614" s="15" t="s">
        <v>14165</v>
      </c>
      <c r="C9614" s="32">
        <v>656.25</v>
      </c>
    </row>
    <row r="9615" spans="1:3" x14ac:dyDescent="0.25">
      <c r="A9615" s="12" t="str">
        <f>("46-23905")</f>
        <v>46-23905</v>
      </c>
      <c r="B9615" s="15" t="s">
        <v>14243</v>
      </c>
      <c r="C9615" s="32">
        <v>768.75</v>
      </c>
    </row>
    <row r="9616" spans="1:3" x14ac:dyDescent="0.25">
      <c r="A9616" s="12" t="str">
        <f>("46-23925")</f>
        <v>46-23925</v>
      </c>
      <c r="B9616" s="15" t="s">
        <v>14244</v>
      </c>
      <c r="C9616" s="32">
        <v>432.5</v>
      </c>
    </row>
    <row r="9617" spans="1:3" x14ac:dyDescent="0.25">
      <c r="A9617" s="12" t="str">
        <f>("46-23955")</f>
        <v>46-23955</v>
      </c>
      <c r="B9617" s="15" t="s">
        <v>14245</v>
      </c>
      <c r="C9617" s="32">
        <v>576.25</v>
      </c>
    </row>
    <row r="9618" spans="1:3" x14ac:dyDescent="0.25">
      <c r="A9618" s="12" t="str">
        <f>("46-23975")</f>
        <v>46-23975</v>
      </c>
      <c r="B9618" s="15" t="s">
        <v>14246</v>
      </c>
      <c r="C9618" s="32">
        <v>768.75</v>
      </c>
    </row>
    <row r="9619" spans="1:3" x14ac:dyDescent="0.25">
      <c r="A9619" s="12" t="str">
        <f>("46-23995")</f>
        <v>46-23995</v>
      </c>
      <c r="B9619" s="15" t="s">
        <v>14167</v>
      </c>
      <c r="C9619" s="32">
        <v>576.25</v>
      </c>
    </row>
    <row r="9620" spans="1:3" x14ac:dyDescent="0.25">
      <c r="A9620" s="12" t="str">
        <f>("46-24025")</f>
        <v>46-24025</v>
      </c>
      <c r="B9620" s="15" t="s">
        <v>14247</v>
      </c>
      <c r="C9620" s="32">
        <v>528.75</v>
      </c>
    </row>
    <row r="9621" spans="1:3" x14ac:dyDescent="0.25">
      <c r="A9621" s="12" t="str">
        <f>("46-24045")</f>
        <v>46-24045</v>
      </c>
      <c r="B9621" s="15" t="s">
        <v>14248</v>
      </c>
      <c r="C9621" s="32">
        <v>768.75</v>
      </c>
    </row>
    <row r="9622" spans="1:3" x14ac:dyDescent="0.25">
      <c r="A9622" s="12" t="str">
        <f>("46-24075")</f>
        <v>46-24075</v>
      </c>
      <c r="B9622" s="15" t="s">
        <v>14168</v>
      </c>
      <c r="C9622" s="32">
        <v>656.25</v>
      </c>
    </row>
    <row r="9623" spans="1:3" x14ac:dyDescent="0.25">
      <c r="A9623" s="12" t="str">
        <f>("48-23995")</f>
        <v>48-23995</v>
      </c>
      <c r="B9623" s="15" t="s">
        <v>14249</v>
      </c>
      <c r="C9623" s="32">
        <v>1093.75</v>
      </c>
    </row>
    <row r="9624" spans="1:3" x14ac:dyDescent="0.25">
      <c r="A9624" s="12" t="str">
        <f>("46-41600")</f>
        <v>46-41600</v>
      </c>
      <c r="B9624" s="15" t="s">
        <v>14250</v>
      </c>
      <c r="C9624" s="32">
        <v>600</v>
      </c>
    </row>
    <row r="9625" spans="1:3" x14ac:dyDescent="0.25">
      <c r="A9625" s="12" t="str">
        <f>("46-41605")</f>
        <v>46-41605</v>
      </c>
      <c r="B9625" s="15" t="s">
        <v>14251</v>
      </c>
      <c r="C9625" s="32">
        <v>418.75</v>
      </c>
    </row>
    <row r="9626" spans="1:3" x14ac:dyDescent="0.25">
      <c r="A9626" s="12" t="str">
        <f>("46-42235")</f>
        <v>46-42235</v>
      </c>
      <c r="B9626" s="15" t="s">
        <v>14234</v>
      </c>
      <c r="C9626" s="32">
        <v>418.75</v>
      </c>
    </row>
    <row r="9627" spans="1:3" ht="31.5" x14ac:dyDescent="0.25">
      <c r="A9627" s="12" t="str">
        <f>("46-42275")</f>
        <v>46-42275</v>
      </c>
      <c r="B9627" s="15" t="s">
        <v>14252</v>
      </c>
      <c r="C9627" s="32">
        <v>418.75</v>
      </c>
    </row>
    <row r="9628" spans="1:3" x14ac:dyDescent="0.25">
      <c r="A9628" s="12" t="str">
        <f>("46-43555")</f>
        <v>46-43555</v>
      </c>
      <c r="B9628" s="15" t="s">
        <v>14253</v>
      </c>
      <c r="C9628" s="32">
        <v>418.75</v>
      </c>
    </row>
    <row r="9629" spans="1:3" x14ac:dyDescent="0.25">
      <c r="A9629" s="12" t="str">
        <f>("46-43635")</f>
        <v>46-43635</v>
      </c>
      <c r="B9629" s="15" t="s">
        <v>13704</v>
      </c>
      <c r="C9629" s="32">
        <v>122.5</v>
      </c>
    </row>
    <row r="9630" spans="1:3" x14ac:dyDescent="0.25">
      <c r="A9630" s="12" t="str">
        <f>("46-43725")</f>
        <v>46-43725</v>
      </c>
      <c r="B9630" s="15" t="s">
        <v>14238</v>
      </c>
      <c r="C9630" s="32">
        <v>418.75</v>
      </c>
    </row>
    <row r="9631" spans="1:3" x14ac:dyDescent="0.25">
      <c r="A9631" s="12" t="str">
        <f>("46-43740")</f>
        <v>46-43740</v>
      </c>
      <c r="B9631" s="15" t="s">
        <v>14254</v>
      </c>
      <c r="C9631" s="32">
        <v>600</v>
      </c>
    </row>
    <row r="9632" spans="1:3" x14ac:dyDescent="0.25">
      <c r="A9632" s="12" t="str">
        <f>("46-43745")</f>
        <v>46-43745</v>
      </c>
      <c r="B9632" s="15" t="s">
        <v>14254</v>
      </c>
      <c r="C9632" s="32">
        <v>418.75</v>
      </c>
    </row>
    <row r="9633" spans="1:3" x14ac:dyDescent="0.25">
      <c r="A9633" s="12" t="str">
        <f>("46-43750")</f>
        <v>46-43750</v>
      </c>
      <c r="B9633" s="15" t="s">
        <v>14255</v>
      </c>
      <c r="C9633" s="32">
        <v>600</v>
      </c>
    </row>
    <row r="9634" spans="1:3" x14ac:dyDescent="0.25">
      <c r="A9634" s="12" t="str">
        <f>("46-43755")</f>
        <v>46-43755</v>
      </c>
      <c r="B9634" s="15" t="s">
        <v>14255</v>
      </c>
      <c r="C9634" s="32">
        <v>418.75</v>
      </c>
    </row>
    <row r="9635" spans="1:3" x14ac:dyDescent="0.25">
      <c r="A9635" s="12" t="str">
        <f>("46-20055")</f>
        <v>46-20055</v>
      </c>
      <c r="B9635" s="15" t="s">
        <v>14256</v>
      </c>
      <c r="C9635" s="32">
        <v>86.25</v>
      </c>
    </row>
    <row r="9636" spans="1:3" x14ac:dyDescent="0.25">
      <c r="A9636" s="12" t="str">
        <f>("46-20065")</f>
        <v>46-20065</v>
      </c>
      <c r="B9636" s="15" t="s">
        <v>14257</v>
      </c>
      <c r="C9636" s="32">
        <v>86.25</v>
      </c>
    </row>
    <row r="9637" spans="1:3" x14ac:dyDescent="0.25">
      <c r="A9637" s="12" t="str">
        <f>("46-3005")</f>
        <v>46-3005</v>
      </c>
      <c r="B9637" s="15" t="s">
        <v>14258</v>
      </c>
      <c r="C9637" s="32">
        <v>58.75</v>
      </c>
    </row>
    <row r="9638" spans="1:3" x14ac:dyDescent="0.25">
      <c r="A9638" s="12" t="str">
        <f>("46-70060")</f>
        <v>46-70060</v>
      </c>
      <c r="B9638" s="15" t="s">
        <v>14259</v>
      </c>
      <c r="C9638" s="32">
        <v>113.75</v>
      </c>
    </row>
    <row r="9639" spans="1:3" x14ac:dyDescent="0.25">
      <c r="A9639" s="12" t="str">
        <f>("46-70100")</f>
        <v>46-70100</v>
      </c>
      <c r="B9639" s="15" t="s">
        <v>14235</v>
      </c>
      <c r="C9639" s="32">
        <v>113.75</v>
      </c>
    </row>
    <row r="9640" spans="1:3" x14ac:dyDescent="0.25">
      <c r="A9640" s="12" t="str">
        <f>("46-70150")</f>
        <v>46-70150</v>
      </c>
      <c r="B9640" s="15" t="s">
        <v>14260</v>
      </c>
      <c r="C9640" s="32">
        <v>113.75</v>
      </c>
    </row>
    <row r="9641" spans="1:3" ht="47.25" x14ac:dyDescent="0.25">
      <c r="A9641" s="12" t="str">
        <f>("1155401")</f>
        <v>1155401</v>
      </c>
      <c r="B9641" s="15" t="s">
        <v>14261</v>
      </c>
      <c r="C9641" s="32">
        <v>1050</v>
      </c>
    </row>
    <row r="9642" spans="1:3" ht="31.5" x14ac:dyDescent="0.25">
      <c r="A9642" s="12" t="str">
        <f>("1511200")</f>
        <v>1511200</v>
      </c>
      <c r="B9642" s="15" t="s">
        <v>14262</v>
      </c>
      <c r="C9642" s="32">
        <v>1006.25</v>
      </c>
    </row>
    <row r="9643" spans="1:3" ht="31.5" x14ac:dyDescent="0.25">
      <c r="A9643" s="12" t="str">
        <f>("1511201")</f>
        <v>1511201</v>
      </c>
      <c r="B9643" s="15" t="s">
        <v>14263</v>
      </c>
      <c r="C9643" s="32">
        <v>1323.75</v>
      </c>
    </row>
    <row r="9644" spans="1:3" ht="31.5" x14ac:dyDescent="0.25">
      <c r="A9644" s="12" t="str">
        <f>("1515000")</f>
        <v>1515000</v>
      </c>
      <c r="B9644" s="15" t="s">
        <v>14264</v>
      </c>
      <c r="C9644" s="32">
        <v>1575</v>
      </c>
    </row>
    <row r="9645" spans="1:3" x14ac:dyDescent="0.25">
      <c r="A9645" s="12" t="str">
        <f>("1515000-1-14")</f>
        <v>1515000-1-14</v>
      </c>
      <c r="B9645" s="15"/>
      <c r="C9645" s="32">
        <v>6.25</v>
      </c>
    </row>
    <row r="9646" spans="1:3" x14ac:dyDescent="0.25">
      <c r="A9646" s="12" t="str">
        <f>("1515000-1-3")</f>
        <v>1515000-1-3</v>
      </c>
      <c r="B9646" s="15"/>
      <c r="C9646" s="32">
        <v>12.5</v>
      </c>
    </row>
    <row r="9647" spans="1:3" x14ac:dyDescent="0.25">
      <c r="A9647" s="12" t="str">
        <f>("1515000-1-5")</f>
        <v>1515000-1-5</v>
      </c>
      <c r="B9647" s="15"/>
      <c r="C9647" s="32">
        <v>11.25</v>
      </c>
    </row>
    <row r="9648" spans="1:3" ht="31.5" x14ac:dyDescent="0.25">
      <c r="A9648" s="12" t="str">
        <f>("1515001")</f>
        <v>1515001</v>
      </c>
      <c r="B9648" s="15" t="s">
        <v>14265</v>
      </c>
      <c r="C9648" s="32">
        <v>1875</v>
      </c>
    </row>
    <row r="9649" spans="1:3" ht="31.5" x14ac:dyDescent="0.25">
      <c r="A9649" s="12" t="str">
        <f>("1518000")</f>
        <v>1518000</v>
      </c>
      <c r="B9649" s="15" t="s">
        <v>14266</v>
      </c>
      <c r="C9649" s="32">
        <v>1798.75</v>
      </c>
    </row>
    <row r="9650" spans="1:3" x14ac:dyDescent="0.25">
      <c r="A9650" s="12" t="str">
        <f>("1518000-1-1-2")</f>
        <v>1518000-1-1-2</v>
      </c>
      <c r="B9650" s="15"/>
      <c r="C9650" s="32">
        <v>155</v>
      </c>
    </row>
    <row r="9651" spans="1:3" x14ac:dyDescent="0.25">
      <c r="A9651" s="12" t="str">
        <f>("1518000-1-1-3")</f>
        <v>1518000-1-1-3</v>
      </c>
      <c r="B9651" s="15"/>
      <c r="C9651" s="32">
        <v>6.25</v>
      </c>
    </row>
    <row r="9652" spans="1:3" x14ac:dyDescent="0.25">
      <c r="A9652" s="12" t="str">
        <f>("1518000-1-10-1")</f>
        <v>1518000-1-10-1</v>
      </c>
      <c r="B9652" s="15"/>
      <c r="C9652" s="32">
        <v>5</v>
      </c>
    </row>
    <row r="9653" spans="1:3" x14ac:dyDescent="0.25">
      <c r="A9653" s="12" t="str">
        <f>("1518000-1-10-2")</f>
        <v>1518000-1-10-2</v>
      </c>
      <c r="B9653" s="15"/>
      <c r="C9653" s="32">
        <v>7.5</v>
      </c>
    </row>
    <row r="9654" spans="1:3" x14ac:dyDescent="0.25">
      <c r="A9654" s="12" t="str">
        <f>("1518000-1-10-3")</f>
        <v>1518000-1-10-3</v>
      </c>
      <c r="B9654" s="15"/>
      <c r="C9654" s="32">
        <v>15</v>
      </c>
    </row>
    <row r="9655" spans="1:3" x14ac:dyDescent="0.25">
      <c r="A9655" s="12" t="str">
        <f>("1518000-1-10-5")</f>
        <v>1518000-1-10-5</v>
      </c>
      <c r="B9655" s="15"/>
      <c r="C9655" s="32">
        <v>86.25</v>
      </c>
    </row>
    <row r="9656" spans="1:3" x14ac:dyDescent="0.25">
      <c r="A9656" s="12" t="str">
        <f>("1518000-1-3")</f>
        <v>1518000-1-3</v>
      </c>
      <c r="B9656" s="15"/>
      <c r="C9656" s="32">
        <v>20</v>
      </c>
    </row>
    <row r="9657" spans="1:3" x14ac:dyDescent="0.25">
      <c r="A9657" s="12" t="str">
        <f>("1518000-1-5")</f>
        <v>1518000-1-5</v>
      </c>
      <c r="B9657" s="15"/>
      <c r="C9657" s="32">
        <v>11.25</v>
      </c>
    </row>
    <row r="9658" spans="1:3" x14ac:dyDescent="0.25">
      <c r="A9658" s="12" t="str">
        <f>("1518000-1-6")</f>
        <v>1518000-1-6</v>
      </c>
      <c r="B9658" s="15"/>
      <c r="C9658" s="32">
        <v>47.5</v>
      </c>
    </row>
    <row r="9659" spans="1:3" x14ac:dyDescent="0.25">
      <c r="A9659" s="12" t="str">
        <f>("1518000-1-7")</f>
        <v>1518000-1-7</v>
      </c>
      <c r="B9659" s="15"/>
      <c r="C9659" s="32">
        <v>23.75</v>
      </c>
    </row>
    <row r="9660" spans="1:3" x14ac:dyDescent="0.25">
      <c r="A9660" s="12" t="str">
        <f>("1518000-1-8")</f>
        <v>1518000-1-8</v>
      </c>
      <c r="B9660" s="15"/>
      <c r="C9660" s="32">
        <v>11.25</v>
      </c>
    </row>
    <row r="9661" spans="1:3" x14ac:dyDescent="0.25">
      <c r="A9661" s="12" t="str">
        <f>("1518000-1-9-1")</f>
        <v>1518000-1-9-1</v>
      </c>
      <c r="B9661" s="15"/>
      <c r="C9661" s="32">
        <v>0</v>
      </c>
    </row>
    <row r="9662" spans="1:3" x14ac:dyDescent="0.25">
      <c r="A9662" s="12" t="str">
        <f>("1518000-1-9-10")</f>
        <v>1518000-1-9-10</v>
      </c>
      <c r="B9662" s="15"/>
      <c r="C9662" s="32">
        <v>60</v>
      </c>
    </row>
    <row r="9663" spans="1:3" x14ac:dyDescent="0.25">
      <c r="A9663" s="12" t="str">
        <f>("1518000-1-9-5")</f>
        <v>1518000-1-9-5</v>
      </c>
      <c r="B9663" s="15"/>
      <c r="C9663" s="32">
        <v>25</v>
      </c>
    </row>
    <row r="9664" spans="1:3" x14ac:dyDescent="0.25">
      <c r="A9664" s="12" t="str">
        <f>("1518000-1-9-6")</f>
        <v>1518000-1-9-6</v>
      </c>
      <c r="B9664" s="15"/>
      <c r="C9664" s="32">
        <v>10</v>
      </c>
    </row>
    <row r="9665" spans="1:3" ht="31.5" x14ac:dyDescent="0.25">
      <c r="A9665" s="12" t="str">
        <f>("1518001")</f>
        <v>1518001</v>
      </c>
      <c r="B9665" s="15" t="s">
        <v>14267</v>
      </c>
      <c r="C9665" s="32">
        <v>2023.75</v>
      </c>
    </row>
    <row r="9666" spans="1:3" ht="31.5" x14ac:dyDescent="0.25">
      <c r="A9666" s="12" t="str">
        <f>("1518100")</f>
        <v>1518100</v>
      </c>
      <c r="B9666" s="15" t="s">
        <v>14268</v>
      </c>
      <c r="C9666" s="32">
        <v>1798.75</v>
      </c>
    </row>
    <row r="9667" spans="1:3" x14ac:dyDescent="0.25">
      <c r="A9667" s="12" t="str">
        <f>("1518100-1-3")</f>
        <v>1518100-1-3</v>
      </c>
      <c r="B9667" s="15"/>
      <c r="C9667" s="32">
        <v>20</v>
      </c>
    </row>
    <row r="9668" spans="1:3" x14ac:dyDescent="0.25">
      <c r="A9668" s="12" t="str">
        <f>("1518100-2-1")</f>
        <v>1518100-2-1</v>
      </c>
      <c r="B9668" s="15"/>
      <c r="C9668" s="32">
        <v>145</v>
      </c>
    </row>
    <row r="9669" spans="1:3" x14ac:dyDescent="0.25">
      <c r="A9669" s="12" t="str">
        <f>("1518100-3")</f>
        <v>1518100-3</v>
      </c>
      <c r="B9669" s="15"/>
      <c r="C9669" s="32">
        <v>56.25</v>
      </c>
    </row>
    <row r="9670" spans="1:3" ht="31.5" x14ac:dyDescent="0.25">
      <c r="A9670" s="12" t="str">
        <f>("1518200")</f>
        <v>1518200</v>
      </c>
      <c r="B9670" s="15" t="s">
        <v>14269</v>
      </c>
      <c r="C9670" s="32">
        <v>1798.75</v>
      </c>
    </row>
    <row r="9671" spans="1:3" ht="31.5" x14ac:dyDescent="0.25">
      <c r="A9671" s="12" t="str">
        <f>("1518201")</f>
        <v>1518201</v>
      </c>
      <c r="B9671" s="15" t="s">
        <v>14270</v>
      </c>
      <c r="C9671" s="32">
        <v>2023.75</v>
      </c>
    </row>
    <row r="9672" spans="1:3" ht="31.5" x14ac:dyDescent="0.25">
      <c r="A9672" s="12" t="str">
        <f>("1595200")</f>
        <v>1595200</v>
      </c>
      <c r="B9672" s="15" t="s">
        <v>14271</v>
      </c>
      <c r="C9672" s="32">
        <v>830</v>
      </c>
    </row>
    <row r="9673" spans="1:3" x14ac:dyDescent="0.25">
      <c r="A9673" s="12" t="str">
        <f>("1595200-3")</f>
        <v>1595200-3</v>
      </c>
      <c r="B9673" s="15"/>
      <c r="C9673" s="32">
        <v>16.25</v>
      </c>
    </row>
    <row r="9674" spans="1:3" ht="31.5" x14ac:dyDescent="0.25">
      <c r="A9674" s="12" t="str">
        <f>("1595201")</f>
        <v>1595201</v>
      </c>
      <c r="B9674" s="15" t="s">
        <v>14272</v>
      </c>
      <c r="C9674" s="32">
        <v>1095</v>
      </c>
    </row>
    <row r="9675" spans="1:3" ht="47.25" x14ac:dyDescent="0.25">
      <c r="A9675" s="12" t="str">
        <f>("1710001")</f>
        <v>1710001</v>
      </c>
      <c r="B9675" s="15" t="s">
        <v>14273</v>
      </c>
      <c r="C9675" s="32">
        <v>811.25</v>
      </c>
    </row>
    <row r="9676" spans="1:3" x14ac:dyDescent="0.25">
      <c r="A9676" s="12" t="str">
        <f>("1710011")</f>
        <v>1710011</v>
      </c>
      <c r="B9676" s="15" t="s">
        <v>14274</v>
      </c>
      <c r="C9676" s="32">
        <v>158.75</v>
      </c>
    </row>
    <row r="9677" spans="1:3" x14ac:dyDescent="0.25">
      <c r="A9677" s="12" t="str">
        <f>("1710021")</f>
        <v>1710021</v>
      </c>
      <c r="B9677" s="15" t="s">
        <v>14275</v>
      </c>
      <c r="C9677" s="32">
        <v>37.5</v>
      </c>
    </row>
    <row r="9678" spans="1:3" x14ac:dyDescent="0.25">
      <c r="A9678" s="12" t="str">
        <f>("1710041")</f>
        <v>1710041</v>
      </c>
      <c r="B9678" s="15" t="s">
        <v>14276</v>
      </c>
      <c r="C9678" s="32">
        <v>61.25</v>
      </c>
    </row>
    <row r="9679" spans="1:3" x14ac:dyDescent="0.25">
      <c r="A9679" s="12" t="str">
        <f>("1710051")</f>
        <v>1710051</v>
      </c>
      <c r="B9679" s="15" t="s">
        <v>14277</v>
      </c>
      <c r="C9679" s="32">
        <v>97.5</v>
      </c>
    </row>
    <row r="9680" spans="1:3" ht="31.5" x14ac:dyDescent="0.25">
      <c r="A9680" s="12" t="str">
        <f>("1710200")</f>
        <v>1710200</v>
      </c>
      <c r="B9680" s="15" t="s">
        <v>14278</v>
      </c>
      <c r="C9680" s="32">
        <v>910</v>
      </c>
    </row>
    <row r="9681" spans="1:3" ht="31.5" x14ac:dyDescent="0.25">
      <c r="A9681" s="12" t="str">
        <f>("1710201")</f>
        <v>1710201</v>
      </c>
      <c r="B9681" s="15" t="s">
        <v>14279</v>
      </c>
      <c r="C9681" s="32">
        <v>1146.25</v>
      </c>
    </row>
    <row r="9682" spans="1:3" ht="31.5" x14ac:dyDescent="0.25">
      <c r="A9682" s="12" t="str">
        <f>("1710202")</f>
        <v>1710202</v>
      </c>
      <c r="B9682" s="15" t="s">
        <v>14280</v>
      </c>
      <c r="C9682" s="32">
        <v>862.5</v>
      </c>
    </row>
    <row r="9683" spans="1:3" ht="31.5" x14ac:dyDescent="0.25">
      <c r="A9683" s="12" t="str">
        <f>("1710203")</f>
        <v>1710203</v>
      </c>
      <c r="B9683" s="15" t="s">
        <v>14281</v>
      </c>
      <c r="C9683" s="32">
        <v>1146.25</v>
      </c>
    </row>
    <row r="9684" spans="1:3" ht="31.5" x14ac:dyDescent="0.25">
      <c r="A9684" s="12" t="str">
        <f>("1710204")</f>
        <v>1710204</v>
      </c>
      <c r="B9684" s="15" t="s">
        <v>14281</v>
      </c>
      <c r="C9684" s="32">
        <v>1146.25</v>
      </c>
    </row>
    <row r="9685" spans="1:3" ht="31.5" x14ac:dyDescent="0.25">
      <c r="A9685" s="12" t="str">
        <f>("1712200")</f>
        <v>1712200</v>
      </c>
      <c r="B9685" s="15" t="s">
        <v>14282</v>
      </c>
      <c r="C9685" s="32">
        <v>1011.25</v>
      </c>
    </row>
    <row r="9686" spans="1:3" ht="31.5" x14ac:dyDescent="0.25">
      <c r="A9686" s="12" t="str">
        <f>("1712201")</f>
        <v>1712201</v>
      </c>
      <c r="B9686" s="15" t="s">
        <v>14283</v>
      </c>
      <c r="C9686" s="32">
        <v>1247.5</v>
      </c>
    </row>
    <row r="9687" spans="1:3" ht="31.5" x14ac:dyDescent="0.25">
      <c r="A9687" s="12" t="str">
        <f>("1712202")</f>
        <v>1712202</v>
      </c>
      <c r="B9687" s="15" t="s">
        <v>14284</v>
      </c>
      <c r="C9687" s="32">
        <v>958.75</v>
      </c>
    </row>
    <row r="9688" spans="1:3" ht="31.5" x14ac:dyDescent="0.25">
      <c r="A9688" s="12" t="str">
        <f>("1712203")</f>
        <v>1712203</v>
      </c>
      <c r="B9688" s="15" t="s">
        <v>14285</v>
      </c>
      <c r="C9688" s="32">
        <v>1247.5</v>
      </c>
    </row>
    <row r="9689" spans="1:3" ht="31.5" x14ac:dyDescent="0.25">
      <c r="A9689" s="12" t="str">
        <f>("1712204")</f>
        <v>1712204</v>
      </c>
      <c r="B9689" s="15" t="s">
        <v>14285</v>
      </c>
      <c r="C9689" s="32">
        <v>1247.5</v>
      </c>
    </row>
    <row r="9690" spans="1:3" ht="31.5" x14ac:dyDescent="0.25">
      <c r="A9690" s="12" t="str">
        <f>("1715001")</f>
        <v>1715001</v>
      </c>
      <c r="B9690" s="15" t="s">
        <v>14286</v>
      </c>
      <c r="C9690" s="32">
        <v>555</v>
      </c>
    </row>
    <row r="9691" spans="1:3" x14ac:dyDescent="0.25">
      <c r="A9691" s="12" t="str">
        <f>("4-118-333")</f>
        <v>4-118-333</v>
      </c>
      <c r="B9691" s="15"/>
      <c r="C9691" s="32">
        <v>7.5</v>
      </c>
    </row>
    <row r="9692" spans="1:3" x14ac:dyDescent="0.25">
      <c r="A9692" s="12" t="str">
        <f>("4-119-343")</f>
        <v>4-119-343</v>
      </c>
      <c r="B9692" s="15"/>
      <c r="C9692" s="32">
        <v>7.5</v>
      </c>
    </row>
    <row r="9693" spans="1:3" x14ac:dyDescent="0.25">
      <c r="A9693" s="12" t="str">
        <f>("4-22-4562083")</f>
        <v>4-22-4562083</v>
      </c>
      <c r="B9693" s="15"/>
      <c r="C9693" s="32">
        <v>8.75</v>
      </c>
    </row>
    <row r="9694" spans="1:3" ht="31.5" x14ac:dyDescent="0.25">
      <c r="A9694" s="12" t="str">
        <f>("6150001NR")</f>
        <v>6150001NR</v>
      </c>
      <c r="B9694" s="15" t="s">
        <v>14287</v>
      </c>
      <c r="C9694" s="32">
        <v>971.25</v>
      </c>
    </row>
    <row r="9695" spans="1:3" ht="31.5" x14ac:dyDescent="0.25">
      <c r="A9695" s="12" t="str">
        <f>("6150003")</f>
        <v>6150003</v>
      </c>
      <c r="B9695" s="15" t="s">
        <v>14288</v>
      </c>
      <c r="C9695" s="32">
        <v>1078.75</v>
      </c>
    </row>
    <row r="9696" spans="1:3" ht="31.5" x14ac:dyDescent="0.25">
      <c r="A9696" s="12" t="str">
        <f>("6150003NR")</f>
        <v>6150003NR</v>
      </c>
      <c r="B9696" s="15" t="s">
        <v>14289</v>
      </c>
      <c r="C9696" s="32">
        <v>998.75</v>
      </c>
    </row>
    <row r="9697" spans="1:3" ht="31.5" x14ac:dyDescent="0.25">
      <c r="A9697" s="12" t="str">
        <f>("6150004")</f>
        <v>6150004</v>
      </c>
      <c r="B9697" s="15" t="s">
        <v>14290</v>
      </c>
      <c r="C9697" s="32">
        <v>1103.75</v>
      </c>
    </row>
    <row r="9698" spans="1:3" ht="31.5" x14ac:dyDescent="0.25">
      <c r="A9698" s="12" t="str">
        <f>("6150004NR")</f>
        <v>6150004NR</v>
      </c>
      <c r="B9698" s="15" t="s">
        <v>14291</v>
      </c>
      <c r="C9698" s="32">
        <v>998.75</v>
      </c>
    </row>
    <row r="9699" spans="1:3" x14ac:dyDescent="0.25">
      <c r="A9699" s="12" t="str">
        <f>("10011")</f>
        <v>10011</v>
      </c>
      <c r="B9699" s="15"/>
      <c r="C9699" s="32">
        <v>465</v>
      </c>
    </row>
    <row r="9700" spans="1:3" ht="31.5" x14ac:dyDescent="0.25">
      <c r="A9700" s="12" t="str">
        <f>("1120210")</f>
        <v>1120210</v>
      </c>
      <c r="B9700" s="15" t="s">
        <v>14292</v>
      </c>
      <c r="C9700" s="32">
        <v>211.25</v>
      </c>
    </row>
    <row r="9701" spans="1:3" ht="31.5" x14ac:dyDescent="0.25">
      <c r="A9701" s="12" t="str">
        <f>("1130220")</f>
        <v>1130220</v>
      </c>
      <c r="B9701" s="15" t="s">
        <v>14293</v>
      </c>
      <c r="C9701" s="32">
        <v>385</v>
      </c>
    </row>
    <row r="9702" spans="1:3" ht="31.5" x14ac:dyDescent="0.25">
      <c r="A9702" s="12" t="str">
        <f>("1140220")</f>
        <v>1140220</v>
      </c>
      <c r="B9702" s="15" t="s">
        <v>14294</v>
      </c>
      <c r="C9702" s="32">
        <v>417.5</v>
      </c>
    </row>
    <row r="9703" spans="1:3" ht="31.5" x14ac:dyDescent="0.25">
      <c r="A9703" s="12" t="str">
        <f>("1140230")</f>
        <v>1140230</v>
      </c>
      <c r="B9703" s="15" t="s">
        <v>14295</v>
      </c>
      <c r="C9703" s="32">
        <v>513.75</v>
      </c>
    </row>
    <row r="9704" spans="1:3" ht="31.5" x14ac:dyDescent="0.25">
      <c r="A9704" s="12" t="str">
        <f>("1220210")</f>
        <v>1220210</v>
      </c>
      <c r="B9704" s="15" t="s">
        <v>14296</v>
      </c>
      <c r="C9704" s="32">
        <v>147.5</v>
      </c>
    </row>
    <row r="9705" spans="1:3" ht="31.5" x14ac:dyDescent="0.25">
      <c r="A9705" s="12" t="str">
        <f>("1331200")</f>
        <v>1331200</v>
      </c>
      <c r="B9705" s="15" t="s">
        <v>14297</v>
      </c>
      <c r="C9705" s="32">
        <v>335</v>
      </c>
    </row>
    <row r="9706" spans="1:3" ht="31.5" x14ac:dyDescent="0.25">
      <c r="A9706" s="12" t="str">
        <f>("1455200")</f>
        <v>1455200</v>
      </c>
      <c r="B9706" s="15" t="s">
        <v>14298</v>
      </c>
      <c r="C9706" s="32">
        <v>977.5</v>
      </c>
    </row>
    <row r="9707" spans="1:3" ht="31.5" x14ac:dyDescent="0.25">
      <c r="A9707" s="12" t="str">
        <f>("1455201")</f>
        <v>1455201</v>
      </c>
      <c r="B9707" s="15" t="s">
        <v>14299</v>
      </c>
      <c r="C9707" s="32">
        <v>1112.5</v>
      </c>
    </row>
    <row r="9708" spans="1:3" ht="31.5" x14ac:dyDescent="0.25">
      <c r="A9708" s="12" t="str">
        <f>("1455300")</f>
        <v>1455300</v>
      </c>
      <c r="B9708" s="15" t="s">
        <v>14300</v>
      </c>
      <c r="C9708" s="32">
        <v>981.25</v>
      </c>
    </row>
    <row r="9709" spans="1:3" ht="31.5" x14ac:dyDescent="0.25">
      <c r="A9709" s="12" t="str">
        <f>("1455301")</f>
        <v>1455301</v>
      </c>
      <c r="B9709" s="15" t="s">
        <v>14301</v>
      </c>
      <c r="C9709" s="32">
        <v>1118.75</v>
      </c>
    </row>
    <row r="9710" spans="1:3" ht="31.5" x14ac:dyDescent="0.25">
      <c r="A9710" s="12" t="str">
        <f>("1475200")</f>
        <v>1475200</v>
      </c>
      <c r="B9710" s="15" t="s">
        <v>14302</v>
      </c>
      <c r="C9710" s="32">
        <v>1011.25</v>
      </c>
    </row>
    <row r="9711" spans="1:3" ht="31.5" x14ac:dyDescent="0.25">
      <c r="A9711" s="12" t="str">
        <f>("1475201")</f>
        <v>1475201</v>
      </c>
      <c r="B9711" s="15" t="s">
        <v>14303</v>
      </c>
      <c r="C9711" s="32">
        <v>1180</v>
      </c>
    </row>
    <row r="9712" spans="1:3" ht="31.5" x14ac:dyDescent="0.25">
      <c r="A9712" s="12" t="str">
        <f>("1475300")</f>
        <v>1475300</v>
      </c>
      <c r="B9712" s="15" t="s">
        <v>14304</v>
      </c>
      <c r="C9712" s="32">
        <v>1011.25</v>
      </c>
    </row>
    <row r="9713" spans="1:3" ht="31.5" x14ac:dyDescent="0.25">
      <c r="A9713" s="12" t="str">
        <f>("1475301")</f>
        <v>1475301</v>
      </c>
      <c r="B9713" s="15" t="s">
        <v>14305</v>
      </c>
      <c r="C9713" s="32">
        <v>1225</v>
      </c>
    </row>
    <row r="9714" spans="1:3" x14ac:dyDescent="0.25">
      <c r="A9714" s="12" t="str">
        <f>("4-29-224")</f>
        <v>4-29-224</v>
      </c>
      <c r="B9714" s="15"/>
      <c r="C9714" s="32">
        <v>7.5</v>
      </c>
    </row>
    <row r="9715" spans="1:3" x14ac:dyDescent="0.25">
      <c r="A9715" s="12" t="str">
        <f>("4-36-0602522")</f>
        <v>4-36-0602522</v>
      </c>
      <c r="B9715" s="15"/>
      <c r="C9715" s="32">
        <v>7.5</v>
      </c>
    </row>
    <row r="9716" spans="1:3" x14ac:dyDescent="0.25">
      <c r="A9716" s="12" t="str">
        <f>("4-36-0603022")</f>
        <v>4-36-0603022</v>
      </c>
      <c r="B9716" s="15"/>
      <c r="C9716" s="32">
        <v>7.5</v>
      </c>
    </row>
    <row r="9717" spans="1:3" x14ac:dyDescent="0.25">
      <c r="A9717" s="12" t="str">
        <f>("85-90231")</f>
        <v>85-90231</v>
      </c>
      <c r="B9717" s="15"/>
      <c r="C9717" s="32">
        <v>1351.25</v>
      </c>
    </row>
    <row r="9718" spans="1:3" x14ac:dyDescent="0.25">
      <c r="A9718" s="12" t="str">
        <f>("90-22855")</f>
        <v>90-22855</v>
      </c>
      <c r="B9718" s="15" t="s">
        <v>14306</v>
      </c>
      <c r="C9718" s="32">
        <v>22.5</v>
      </c>
    </row>
    <row r="9719" spans="1:3" x14ac:dyDescent="0.25">
      <c r="A9719" s="12" t="str">
        <f>("90-22875")</f>
        <v>90-22875</v>
      </c>
      <c r="B9719" s="15" t="s">
        <v>14307</v>
      </c>
      <c r="C9719" s="32">
        <v>15</v>
      </c>
    </row>
    <row r="9720" spans="1:3" x14ac:dyDescent="0.25">
      <c r="A9720" s="12" t="str">
        <f>("94-32176-01")</f>
        <v>94-32176-01</v>
      </c>
      <c r="B9720" s="15"/>
      <c r="C9720" s="32">
        <v>1410</v>
      </c>
    </row>
    <row r="9721" spans="1:3" x14ac:dyDescent="0.25">
      <c r="A9721" s="12" t="str">
        <f>("S106105")</f>
        <v>S106105</v>
      </c>
      <c r="B9721" s="15" t="s">
        <v>14308</v>
      </c>
      <c r="C9721" s="32">
        <v>53.75</v>
      </c>
    </row>
    <row r="9722" spans="1:3" ht="31.5" x14ac:dyDescent="0.25">
      <c r="A9722" s="12" t="str">
        <f>("1125260")</f>
        <v>1125260</v>
      </c>
      <c r="B9722" s="15" t="s">
        <v>14309</v>
      </c>
      <c r="C9722" s="32">
        <v>390</v>
      </c>
    </row>
    <row r="9723" spans="1:3" x14ac:dyDescent="0.25">
      <c r="A9723" s="12" t="str">
        <f>("1125260-1-1-25")</f>
        <v>1125260-1-1-25</v>
      </c>
      <c r="B9723" s="15"/>
      <c r="C9723" s="32">
        <v>1.1299999999999999</v>
      </c>
    </row>
    <row r="9724" spans="1:3" x14ac:dyDescent="0.25">
      <c r="A9724" s="12" t="str">
        <f>("1125260-1-3-96")</f>
        <v>1125260-1-3-96</v>
      </c>
      <c r="B9724" s="15"/>
      <c r="C9724" s="32">
        <v>17.5</v>
      </c>
    </row>
    <row r="9725" spans="1:3" ht="31.5" x14ac:dyDescent="0.25">
      <c r="A9725" s="12" t="str">
        <f>("1125270")</f>
        <v>1125270</v>
      </c>
      <c r="B9725" s="15" t="s">
        <v>14310</v>
      </c>
      <c r="C9725" s="32">
        <v>495</v>
      </c>
    </row>
    <row r="9726" spans="1:3" ht="31.5" x14ac:dyDescent="0.25">
      <c r="A9726" s="12" t="str">
        <f>("1135240")</f>
        <v>1135240</v>
      </c>
      <c r="B9726" s="15" t="s">
        <v>14311</v>
      </c>
      <c r="C9726" s="32">
        <v>673.75</v>
      </c>
    </row>
    <row r="9727" spans="1:3" ht="31.5" x14ac:dyDescent="0.25">
      <c r="A9727" s="12" t="str">
        <f>("1135250")</f>
        <v>1135250</v>
      </c>
      <c r="B9727" s="15" t="s">
        <v>14312</v>
      </c>
      <c r="C9727" s="32">
        <v>703.75</v>
      </c>
    </row>
    <row r="9728" spans="1:3" ht="31.5" x14ac:dyDescent="0.25">
      <c r="A9728" s="12" t="str">
        <f>("1135260")</f>
        <v>1135260</v>
      </c>
      <c r="B9728" s="15" t="s">
        <v>14313</v>
      </c>
      <c r="C9728" s="32">
        <v>465</v>
      </c>
    </row>
    <row r="9729" spans="1:3" ht="31.5" x14ac:dyDescent="0.25">
      <c r="A9729" s="12" t="str">
        <f>("1135270")</f>
        <v>1135270</v>
      </c>
      <c r="B9729" s="15" t="s">
        <v>14314</v>
      </c>
      <c r="C9729" s="32">
        <v>585</v>
      </c>
    </row>
    <row r="9730" spans="1:3" ht="31.5" x14ac:dyDescent="0.25">
      <c r="A9730" s="12" t="str">
        <f>("1135280")</f>
        <v>1135280</v>
      </c>
      <c r="B9730" s="15" t="s">
        <v>14315</v>
      </c>
      <c r="C9730" s="32">
        <v>537.5</v>
      </c>
    </row>
    <row r="9731" spans="1:3" ht="47.25" x14ac:dyDescent="0.25">
      <c r="A9731" s="12" t="str">
        <f>("1140222")</f>
        <v>1140222</v>
      </c>
      <c r="B9731" s="15" t="s">
        <v>14316</v>
      </c>
      <c r="C9731" s="32">
        <v>673.75</v>
      </c>
    </row>
    <row r="9732" spans="1:3" ht="47.25" x14ac:dyDescent="0.25">
      <c r="A9732" s="12" t="str">
        <f>("1140232")</f>
        <v>1140232</v>
      </c>
      <c r="B9732" s="15" t="s">
        <v>14317</v>
      </c>
      <c r="C9732" s="32">
        <v>842.5</v>
      </c>
    </row>
    <row r="9733" spans="1:3" ht="31.5" x14ac:dyDescent="0.25">
      <c r="A9733" s="12" t="str">
        <f>("1145240")</f>
        <v>1145240</v>
      </c>
      <c r="B9733" s="15" t="s">
        <v>14318</v>
      </c>
      <c r="C9733" s="32">
        <v>823.75</v>
      </c>
    </row>
    <row r="9734" spans="1:3" ht="31.5" x14ac:dyDescent="0.25">
      <c r="A9734" s="12" t="str">
        <f>("1145250")</f>
        <v>1145250</v>
      </c>
      <c r="B9734" s="15" t="s">
        <v>14319</v>
      </c>
      <c r="C9734" s="32">
        <v>853.75</v>
      </c>
    </row>
    <row r="9735" spans="1:3" ht="31.5" x14ac:dyDescent="0.25">
      <c r="A9735" s="12" t="str">
        <f>("1145260")</f>
        <v>1145260</v>
      </c>
      <c r="B9735" s="15" t="s">
        <v>14320</v>
      </c>
      <c r="C9735" s="32">
        <v>555</v>
      </c>
    </row>
    <row r="9736" spans="1:3" ht="31.5" x14ac:dyDescent="0.25">
      <c r="A9736" s="12" t="str">
        <f>("1145270")</f>
        <v>1145270</v>
      </c>
      <c r="B9736" s="15" t="s">
        <v>14321</v>
      </c>
      <c r="C9736" s="32">
        <v>675</v>
      </c>
    </row>
    <row r="9737" spans="1:3" x14ac:dyDescent="0.25">
      <c r="A9737" s="12" t="str">
        <f>("1570")</f>
        <v>1570</v>
      </c>
      <c r="B9737" s="15" t="s">
        <v>14322</v>
      </c>
      <c r="C9737" s="32">
        <v>67.5</v>
      </c>
    </row>
    <row r="9738" spans="1:3" x14ac:dyDescent="0.25">
      <c r="A9738" s="12" t="str">
        <f>("1571")</f>
        <v>1571</v>
      </c>
      <c r="B9738" s="15" t="s">
        <v>14323</v>
      </c>
      <c r="C9738" s="32">
        <v>76.25</v>
      </c>
    </row>
    <row r="9739" spans="1:3" ht="31.5" x14ac:dyDescent="0.25">
      <c r="A9739" s="12" t="str">
        <f>("1572")</f>
        <v>1572</v>
      </c>
      <c r="B9739" s="15" t="s">
        <v>14324</v>
      </c>
      <c r="C9739" s="32">
        <v>76.25</v>
      </c>
    </row>
    <row r="9740" spans="1:3" x14ac:dyDescent="0.25">
      <c r="A9740" s="12" t="str">
        <f>("1576")</f>
        <v>1576</v>
      </c>
      <c r="B9740" s="15" t="s">
        <v>14325</v>
      </c>
      <c r="C9740" s="32">
        <v>76.25</v>
      </c>
    </row>
    <row r="9741" spans="1:3" x14ac:dyDescent="0.25">
      <c r="A9741" s="12" t="str">
        <f>("2007")</f>
        <v>2007</v>
      </c>
      <c r="B9741" s="15" t="s">
        <v>14326</v>
      </c>
      <c r="C9741" s="32">
        <v>117.5</v>
      </c>
    </row>
    <row r="9742" spans="1:3" x14ac:dyDescent="0.25">
      <c r="A9742" s="12" t="str">
        <f>("2009")</f>
        <v>2009</v>
      </c>
      <c r="B9742" s="15" t="s">
        <v>14327</v>
      </c>
      <c r="C9742" s="32">
        <v>447.5</v>
      </c>
    </row>
    <row r="9743" spans="1:3" ht="31.5" x14ac:dyDescent="0.25">
      <c r="A9743" s="12" t="str">
        <f>("2050")</f>
        <v>2050</v>
      </c>
      <c r="B9743" s="15" t="s">
        <v>14328</v>
      </c>
      <c r="C9743" s="32">
        <v>343.75</v>
      </c>
    </row>
    <row r="9744" spans="1:3" x14ac:dyDescent="0.25">
      <c r="A9744" s="12" t="str">
        <f>("2124800")</f>
        <v>2124800</v>
      </c>
      <c r="B9744" s="15" t="s">
        <v>14329</v>
      </c>
      <c r="C9744" s="32">
        <v>16.25</v>
      </c>
    </row>
    <row r="9745" spans="1:3" x14ac:dyDescent="0.25">
      <c r="A9745" s="12" t="str">
        <f>("2227A")</f>
        <v>2227A</v>
      </c>
      <c r="B9745" s="15" t="s">
        <v>14330</v>
      </c>
      <c r="C9745" s="32">
        <v>53.75</v>
      </c>
    </row>
    <row r="9746" spans="1:3" x14ac:dyDescent="0.25">
      <c r="A9746" s="12" t="str">
        <f>("2229A")</f>
        <v>2229A</v>
      </c>
      <c r="B9746" s="15" t="s">
        <v>14331</v>
      </c>
      <c r="C9746" s="32">
        <v>63.75</v>
      </c>
    </row>
    <row r="9747" spans="1:3" x14ac:dyDescent="0.25">
      <c r="A9747" s="12" t="str">
        <f>("2236")</f>
        <v>2236</v>
      </c>
      <c r="B9747" s="15" t="s">
        <v>14332</v>
      </c>
      <c r="C9747" s="32">
        <v>85</v>
      </c>
    </row>
    <row r="9748" spans="1:3" x14ac:dyDescent="0.25">
      <c r="A9748" s="12" t="str">
        <f>("2271")</f>
        <v>2271</v>
      </c>
      <c r="B9748" s="15" t="s">
        <v>14333</v>
      </c>
      <c r="C9748" s="32">
        <v>98.75</v>
      </c>
    </row>
    <row r="9749" spans="1:3" x14ac:dyDescent="0.25">
      <c r="A9749" s="12" t="str">
        <f>("2272")</f>
        <v>2272</v>
      </c>
      <c r="B9749" s="15" t="s">
        <v>14334</v>
      </c>
      <c r="C9749" s="32">
        <v>70</v>
      </c>
    </row>
    <row r="9750" spans="1:3" x14ac:dyDescent="0.25">
      <c r="A9750" s="12" t="str">
        <f>("2274")</f>
        <v>2274</v>
      </c>
      <c r="B9750" s="15" t="s">
        <v>14335</v>
      </c>
      <c r="C9750" s="32">
        <v>60</v>
      </c>
    </row>
    <row r="9751" spans="1:3" ht="31.5" x14ac:dyDescent="0.25">
      <c r="A9751" s="12" t="str">
        <f>("2275")</f>
        <v>2275</v>
      </c>
      <c r="B9751" s="15" t="s">
        <v>14336</v>
      </c>
      <c r="C9751" s="32">
        <v>72.5</v>
      </c>
    </row>
    <row r="9752" spans="1:3" ht="31.5" x14ac:dyDescent="0.25">
      <c r="A9752" s="12" t="str">
        <f>("2277")</f>
        <v>2277</v>
      </c>
      <c r="B9752" s="15" t="s">
        <v>14337</v>
      </c>
      <c r="C9752" s="32">
        <v>198.75</v>
      </c>
    </row>
    <row r="9753" spans="1:3" x14ac:dyDescent="0.25">
      <c r="A9753" s="12" t="str">
        <f>("2277R")</f>
        <v>2277R</v>
      </c>
      <c r="B9753" s="15" t="s">
        <v>14338</v>
      </c>
      <c r="C9753" s="32">
        <v>77.5</v>
      </c>
    </row>
    <row r="9754" spans="1:3" x14ac:dyDescent="0.25">
      <c r="A9754" s="12" t="str">
        <f>("2278R")</f>
        <v>2278R</v>
      </c>
      <c r="B9754" s="15" t="s">
        <v>14339</v>
      </c>
      <c r="C9754" s="32">
        <v>77.5</v>
      </c>
    </row>
    <row r="9755" spans="1:3" x14ac:dyDescent="0.25">
      <c r="A9755" s="12" t="str">
        <f>("2302284")</f>
        <v>2302284</v>
      </c>
      <c r="B9755" s="15" t="s">
        <v>14340</v>
      </c>
      <c r="C9755" s="32">
        <v>36.25</v>
      </c>
    </row>
    <row r="9756" spans="1:3" x14ac:dyDescent="0.25">
      <c r="A9756" s="12" t="str">
        <f>("2302285")</f>
        <v>2302285</v>
      </c>
      <c r="B9756" s="15" t="s">
        <v>14341</v>
      </c>
      <c r="C9756" s="32">
        <v>27.5</v>
      </c>
    </row>
    <row r="9757" spans="1:3" x14ac:dyDescent="0.25">
      <c r="A9757" s="12" t="str">
        <f>("2302293")</f>
        <v>2302293</v>
      </c>
      <c r="B9757" s="15" t="s">
        <v>14342</v>
      </c>
      <c r="C9757" s="32">
        <v>118.75</v>
      </c>
    </row>
    <row r="9758" spans="1:3" x14ac:dyDescent="0.25">
      <c r="A9758" s="12" t="str">
        <f>("2302297")</f>
        <v>2302297</v>
      </c>
      <c r="B9758" s="15" t="s">
        <v>14343</v>
      </c>
      <c r="C9758" s="32">
        <v>50</v>
      </c>
    </row>
    <row r="9759" spans="1:3" ht="31.5" x14ac:dyDescent="0.25">
      <c r="A9759" s="12" t="str">
        <f>("2320200")</f>
        <v>2320200</v>
      </c>
      <c r="B9759" s="15" t="s">
        <v>14344</v>
      </c>
      <c r="C9759" s="32">
        <v>80</v>
      </c>
    </row>
    <row r="9760" spans="1:3" x14ac:dyDescent="0.25">
      <c r="A9760" s="12" t="str">
        <f>("2402785")</f>
        <v>2402785</v>
      </c>
      <c r="B9760" s="15" t="s">
        <v>14345</v>
      </c>
      <c r="C9760" s="32">
        <v>812.5</v>
      </c>
    </row>
    <row r="9761" spans="1:3" x14ac:dyDescent="0.25">
      <c r="A9761" s="12" t="str">
        <f>("2404095")</f>
        <v>2404095</v>
      </c>
      <c r="B9761" s="15" t="s">
        <v>14346</v>
      </c>
      <c r="C9761" s="32">
        <v>811.25</v>
      </c>
    </row>
    <row r="9762" spans="1:3" x14ac:dyDescent="0.25">
      <c r="A9762" s="12" t="str">
        <f>("2404185")</f>
        <v>2404185</v>
      </c>
      <c r="B9762" s="15" t="s">
        <v>14347</v>
      </c>
      <c r="C9762" s="32">
        <v>1071.25</v>
      </c>
    </row>
    <row r="9763" spans="1:3" x14ac:dyDescent="0.25">
      <c r="A9763" s="12" t="str">
        <f>("2501005")</f>
        <v>2501005</v>
      </c>
      <c r="B9763" s="15" t="s">
        <v>14348</v>
      </c>
      <c r="C9763" s="32">
        <v>648.75</v>
      </c>
    </row>
    <row r="9764" spans="1:3" x14ac:dyDescent="0.25">
      <c r="A9764" s="12" t="str">
        <f>("2501015")</f>
        <v>2501015</v>
      </c>
      <c r="B9764" s="15" t="s">
        <v>14349</v>
      </c>
      <c r="C9764" s="32">
        <v>648.75</v>
      </c>
    </row>
    <row r="9765" spans="1:3" x14ac:dyDescent="0.25">
      <c r="A9765" s="12" t="str">
        <f>("2518")</f>
        <v>2518</v>
      </c>
      <c r="B9765" s="15" t="s">
        <v>14350</v>
      </c>
      <c r="C9765" s="32">
        <v>90</v>
      </c>
    </row>
    <row r="9766" spans="1:3" x14ac:dyDescent="0.25">
      <c r="A9766" s="12" t="str">
        <f>("2538")</f>
        <v>2538</v>
      </c>
      <c r="B9766" s="15" t="s">
        <v>14351</v>
      </c>
      <c r="C9766" s="32">
        <v>36.25</v>
      </c>
    </row>
    <row r="9767" spans="1:3" ht="31.5" x14ac:dyDescent="0.25">
      <c r="A9767" s="12" t="str">
        <f>("2570")</f>
        <v>2570</v>
      </c>
      <c r="B9767" s="15" t="s">
        <v>14352</v>
      </c>
      <c r="C9767" s="32">
        <v>42.5</v>
      </c>
    </row>
    <row r="9768" spans="1:3" x14ac:dyDescent="0.25">
      <c r="A9768" s="12" t="str">
        <f>("2573")</f>
        <v>2573</v>
      </c>
      <c r="B9768" s="15" t="s">
        <v>14353</v>
      </c>
      <c r="C9768" s="32">
        <v>63.75</v>
      </c>
    </row>
    <row r="9769" spans="1:3" x14ac:dyDescent="0.25">
      <c r="A9769" s="12" t="str">
        <f>("2574")</f>
        <v>2574</v>
      </c>
      <c r="B9769" s="15" t="s">
        <v>14354</v>
      </c>
      <c r="C9769" s="32">
        <v>90</v>
      </c>
    </row>
    <row r="9770" spans="1:3" ht="47.25" x14ac:dyDescent="0.25">
      <c r="A9770" s="12" t="str">
        <f>("2575")</f>
        <v>2575</v>
      </c>
      <c r="B9770" s="15" t="s">
        <v>14355</v>
      </c>
      <c r="C9770" s="32">
        <v>633.75</v>
      </c>
    </row>
    <row r="9771" spans="1:3" ht="47.25" x14ac:dyDescent="0.25">
      <c r="A9771" s="12" t="str">
        <f>("2576")</f>
        <v>2576</v>
      </c>
      <c r="B9771" s="15" t="s">
        <v>14356</v>
      </c>
      <c r="C9771" s="32">
        <v>375</v>
      </c>
    </row>
    <row r="9772" spans="1:3" ht="31.5" x14ac:dyDescent="0.25">
      <c r="A9772" s="12" t="str">
        <f>("2577")</f>
        <v>2577</v>
      </c>
      <c r="B9772" s="15" t="s">
        <v>14357</v>
      </c>
      <c r="C9772" s="32">
        <v>178.75</v>
      </c>
    </row>
    <row r="9773" spans="1:3" ht="31.5" x14ac:dyDescent="0.25">
      <c r="A9773" s="12" t="str">
        <f>("2578")</f>
        <v>2578</v>
      </c>
      <c r="B9773" s="15" t="s">
        <v>14358</v>
      </c>
      <c r="C9773" s="32">
        <v>268.75</v>
      </c>
    </row>
    <row r="9774" spans="1:3" x14ac:dyDescent="0.25">
      <c r="A9774" s="12" t="str">
        <f>("2579")</f>
        <v>2579</v>
      </c>
      <c r="B9774" s="15" t="s">
        <v>14359</v>
      </c>
      <c r="C9774" s="32">
        <v>15</v>
      </c>
    </row>
    <row r="9775" spans="1:3" x14ac:dyDescent="0.25">
      <c r="A9775" s="12" t="str">
        <f>("2580")</f>
        <v>2580</v>
      </c>
      <c r="B9775" s="15" t="s">
        <v>14360</v>
      </c>
      <c r="C9775" s="32">
        <v>32.5</v>
      </c>
    </row>
    <row r="9776" spans="1:3" x14ac:dyDescent="0.25">
      <c r="A9776" s="12" t="str">
        <f>("2586")</f>
        <v>2586</v>
      </c>
      <c r="B9776" s="15" t="s">
        <v>14361</v>
      </c>
      <c r="C9776" s="32">
        <v>16.25</v>
      </c>
    </row>
    <row r="9777" spans="1:3" x14ac:dyDescent="0.25">
      <c r="A9777" s="12" t="str">
        <f>("2587")</f>
        <v>2587</v>
      </c>
      <c r="B9777" s="15" t="s">
        <v>14362</v>
      </c>
      <c r="C9777" s="32">
        <v>117.5</v>
      </c>
    </row>
    <row r="9778" spans="1:3" x14ac:dyDescent="0.25">
      <c r="A9778" s="12" t="str">
        <f>("2588")</f>
        <v>2588</v>
      </c>
      <c r="B9778" s="15" t="s">
        <v>14363</v>
      </c>
      <c r="C9778" s="32">
        <v>53.75</v>
      </c>
    </row>
    <row r="9779" spans="1:3" x14ac:dyDescent="0.25">
      <c r="A9779" s="12" t="str">
        <f>("2589")</f>
        <v>2589</v>
      </c>
      <c r="B9779" s="15" t="s">
        <v>14364</v>
      </c>
      <c r="C9779" s="32">
        <v>90</v>
      </c>
    </row>
    <row r="9780" spans="1:3" x14ac:dyDescent="0.25">
      <c r="A9780" s="12" t="str">
        <f>("2593")</f>
        <v>2593</v>
      </c>
      <c r="B9780" s="15" t="s">
        <v>14365</v>
      </c>
      <c r="C9780" s="32">
        <v>292.5</v>
      </c>
    </row>
    <row r="9781" spans="1:3" ht="31.5" x14ac:dyDescent="0.25">
      <c r="A9781" s="12" t="str">
        <f>("2597")</f>
        <v>2597</v>
      </c>
      <c r="B9781" s="15" t="s">
        <v>14366</v>
      </c>
      <c r="C9781" s="32">
        <v>31.25</v>
      </c>
    </row>
    <row r="9782" spans="1:3" x14ac:dyDescent="0.25">
      <c r="A9782" s="12" t="str">
        <f>("2598")</f>
        <v>2598</v>
      </c>
      <c r="B9782" s="15" t="s">
        <v>14367</v>
      </c>
      <c r="C9782" s="32">
        <v>225</v>
      </c>
    </row>
    <row r="9783" spans="1:3" ht="31.5" x14ac:dyDescent="0.25">
      <c r="A9783" s="12" t="str">
        <f>("2599")</f>
        <v>2599</v>
      </c>
      <c r="B9783" s="15" t="s">
        <v>14368</v>
      </c>
      <c r="C9783" s="32">
        <v>243.75</v>
      </c>
    </row>
    <row r="9784" spans="1:3" x14ac:dyDescent="0.25">
      <c r="A9784" s="12" t="str">
        <f>("2600")</f>
        <v>2600</v>
      </c>
      <c r="B9784" s="15" t="s">
        <v>14369</v>
      </c>
      <c r="C9784" s="32">
        <v>31.25</v>
      </c>
    </row>
    <row r="9785" spans="1:3" x14ac:dyDescent="0.25">
      <c r="A9785" s="12" t="str">
        <f>("2601")</f>
        <v>2601</v>
      </c>
      <c r="B9785" s="15" t="s">
        <v>14370</v>
      </c>
      <c r="C9785" s="32">
        <v>47.5</v>
      </c>
    </row>
    <row r="9786" spans="1:3" x14ac:dyDescent="0.25">
      <c r="A9786" s="12" t="str">
        <f>("35-40711")</f>
        <v>35-40711</v>
      </c>
      <c r="B9786" s="15" t="s">
        <v>14371</v>
      </c>
      <c r="C9786" s="32">
        <v>2.5</v>
      </c>
    </row>
    <row r="9787" spans="1:3" x14ac:dyDescent="0.25">
      <c r="A9787" s="12" t="str">
        <f>("4-22-6573653")</f>
        <v>4-22-6573653</v>
      </c>
      <c r="B9787" s="15" t="s">
        <v>14372</v>
      </c>
      <c r="C9787" s="32">
        <v>1.25</v>
      </c>
    </row>
    <row r="9788" spans="1:3" x14ac:dyDescent="0.25">
      <c r="A9788" s="12" t="str">
        <f>("5600")</f>
        <v>5600</v>
      </c>
      <c r="B9788" s="15" t="s">
        <v>14373</v>
      </c>
      <c r="C9788" s="32">
        <v>168.75</v>
      </c>
    </row>
    <row r="9789" spans="1:3" x14ac:dyDescent="0.25">
      <c r="A9789" s="12" t="str">
        <f>("5603")</f>
        <v>5603</v>
      </c>
      <c r="B9789" s="15" t="s">
        <v>14374</v>
      </c>
      <c r="C9789" s="32">
        <v>155</v>
      </c>
    </row>
    <row r="9790" spans="1:3" x14ac:dyDescent="0.25">
      <c r="A9790" s="12" t="str">
        <f>("5637")</f>
        <v>5637</v>
      </c>
      <c r="B9790" s="15" t="s">
        <v>14375</v>
      </c>
      <c r="C9790" s="32">
        <v>623.75</v>
      </c>
    </row>
    <row r="9791" spans="1:3" x14ac:dyDescent="0.25">
      <c r="A9791" s="12" t="str">
        <f>("6150001-8")</f>
        <v>6150001-8</v>
      </c>
      <c r="B9791" s="15" t="s">
        <v>14376</v>
      </c>
      <c r="C9791" s="32">
        <v>82.5</v>
      </c>
    </row>
    <row r="9792" spans="1:3" x14ac:dyDescent="0.25">
      <c r="A9792" s="12" t="str">
        <f>("6150003-6")</f>
        <v>6150003-6</v>
      </c>
      <c r="B9792" s="15" t="s">
        <v>14377</v>
      </c>
      <c r="C9792" s="32">
        <v>346.25</v>
      </c>
    </row>
    <row r="9793" spans="1:3" x14ac:dyDescent="0.25">
      <c r="A9793" s="12" t="str">
        <f>("7694-I")</f>
        <v>7694-I</v>
      </c>
      <c r="B9793" s="15" t="s">
        <v>14378</v>
      </c>
      <c r="C9793" s="32">
        <v>516.25</v>
      </c>
    </row>
    <row r="9794" spans="1:3" x14ac:dyDescent="0.25">
      <c r="A9794" s="12" t="str">
        <f>("7750A")</f>
        <v>7750A</v>
      </c>
      <c r="B9794" s="15" t="s">
        <v>14379</v>
      </c>
      <c r="C9794" s="32">
        <v>115</v>
      </c>
    </row>
    <row r="9795" spans="1:3" x14ac:dyDescent="0.25">
      <c r="A9795" s="12" t="str">
        <f>("7755")</f>
        <v>7755</v>
      </c>
      <c r="B9795" s="15" t="s">
        <v>14380</v>
      </c>
      <c r="C9795" s="32">
        <v>163.75</v>
      </c>
    </row>
    <row r="9796" spans="1:3" x14ac:dyDescent="0.25">
      <c r="A9796" s="12" t="str">
        <f>("87-12869")</f>
        <v>87-12869</v>
      </c>
      <c r="B9796" s="15" t="s">
        <v>14381</v>
      </c>
      <c r="C9796" s="32">
        <v>92.5</v>
      </c>
    </row>
    <row r="9797" spans="1:3" x14ac:dyDescent="0.25">
      <c r="A9797" s="12" t="str">
        <f>("87-12890")</f>
        <v>87-12890</v>
      </c>
      <c r="B9797" s="15" t="s">
        <v>14382</v>
      </c>
      <c r="C9797" s="32">
        <v>211.25</v>
      </c>
    </row>
    <row r="9798" spans="1:3" x14ac:dyDescent="0.25">
      <c r="A9798" s="12" t="str">
        <f>("87-12891")</f>
        <v>87-12891</v>
      </c>
      <c r="B9798" s="15" t="s">
        <v>14383</v>
      </c>
      <c r="C9798" s="32">
        <v>21.25</v>
      </c>
    </row>
    <row r="9799" spans="1:3" x14ac:dyDescent="0.25">
      <c r="A9799" s="12" t="str">
        <f>("87-12893")</f>
        <v>87-12893</v>
      </c>
      <c r="B9799" s="15" t="s">
        <v>14384</v>
      </c>
      <c r="C9799" s="32">
        <v>63.75</v>
      </c>
    </row>
    <row r="9800" spans="1:3" x14ac:dyDescent="0.25">
      <c r="A9800" s="12" t="str">
        <f>("87-12894")</f>
        <v>87-12894</v>
      </c>
      <c r="B9800" s="15" t="s">
        <v>14385</v>
      </c>
      <c r="C9800" s="32">
        <v>23.75</v>
      </c>
    </row>
    <row r="9801" spans="1:3" x14ac:dyDescent="0.25">
      <c r="A9801" s="12" t="str">
        <f>("87-12895")</f>
        <v>87-12895</v>
      </c>
      <c r="B9801" s="15" t="s">
        <v>14386</v>
      </c>
      <c r="C9801" s="32">
        <v>23.75</v>
      </c>
    </row>
    <row r="9802" spans="1:3" x14ac:dyDescent="0.25">
      <c r="A9802" s="12" t="str">
        <f>("87-12911")</f>
        <v>87-12911</v>
      </c>
      <c r="B9802" s="15" t="s">
        <v>14387</v>
      </c>
      <c r="C9802" s="32">
        <v>43.75</v>
      </c>
    </row>
    <row r="9803" spans="1:3" x14ac:dyDescent="0.25">
      <c r="A9803" s="12" t="str">
        <f>("87-14151")</f>
        <v>87-14151</v>
      </c>
      <c r="B9803" s="15" t="s">
        <v>14388</v>
      </c>
      <c r="C9803" s="32">
        <v>16.25</v>
      </c>
    </row>
    <row r="9804" spans="1:3" x14ac:dyDescent="0.25">
      <c r="A9804" s="12" t="str">
        <f>("87-14541")</f>
        <v>87-14541</v>
      </c>
      <c r="B9804" s="15" t="s">
        <v>14389</v>
      </c>
      <c r="C9804" s="32">
        <v>5</v>
      </c>
    </row>
    <row r="9805" spans="1:3" x14ac:dyDescent="0.25">
      <c r="A9805" s="12" t="str">
        <f>("87-17428")</f>
        <v>87-17428</v>
      </c>
      <c r="B9805" s="15" t="s">
        <v>14390</v>
      </c>
      <c r="C9805" s="32">
        <v>63.75</v>
      </c>
    </row>
    <row r="9806" spans="1:3" x14ac:dyDescent="0.25">
      <c r="A9806" s="12" t="str">
        <f>("87-24077")</f>
        <v>87-24077</v>
      </c>
      <c r="B9806" s="15" t="s">
        <v>14391</v>
      </c>
      <c r="C9806" s="32">
        <v>52.5</v>
      </c>
    </row>
    <row r="9807" spans="1:3" x14ac:dyDescent="0.25">
      <c r="A9807" s="12" t="str">
        <f>("87-24078")</f>
        <v>87-24078</v>
      </c>
      <c r="B9807" s="15" t="s">
        <v>14392</v>
      </c>
      <c r="C9807" s="32">
        <v>226.25</v>
      </c>
    </row>
    <row r="9808" spans="1:3" x14ac:dyDescent="0.25">
      <c r="A9808" s="12" t="str">
        <f>("87-33373")</f>
        <v>87-33373</v>
      </c>
      <c r="B9808" s="15" t="s">
        <v>14393</v>
      </c>
      <c r="C9808" s="32">
        <v>40</v>
      </c>
    </row>
    <row r="9809" spans="1:3" x14ac:dyDescent="0.25">
      <c r="A9809" s="12" t="str">
        <f>("87-41340")</f>
        <v>87-41340</v>
      </c>
      <c r="B9809" s="15" t="s">
        <v>14394</v>
      </c>
      <c r="C9809" s="32">
        <v>31.25</v>
      </c>
    </row>
    <row r="9810" spans="1:3" x14ac:dyDescent="0.25">
      <c r="A9810" s="12" t="str">
        <f>("87-41340-01")</f>
        <v>87-41340-01</v>
      </c>
      <c r="B9810" s="15" t="s">
        <v>14395</v>
      </c>
      <c r="C9810" s="32">
        <v>28.75</v>
      </c>
    </row>
    <row r="9811" spans="1:3" x14ac:dyDescent="0.25">
      <c r="A9811" s="12" t="str">
        <f>("87-42601")</f>
        <v>87-42601</v>
      </c>
      <c r="B9811" s="15" t="s">
        <v>14396</v>
      </c>
      <c r="C9811" s="32">
        <v>151.25</v>
      </c>
    </row>
    <row r="9812" spans="1:3" ht="31.5" x14ac:dyDescent="0.25">
      <c r="A9812" s="12" t="str">
        <f>("87-42611")</f>
        <v>87-42611</v>
      </c>
      <c r="B9812" s="15" t="s">
        <v>14397</v>
      </c>
      <c r="C9812" s="32">
        <v>33.75</v>
      </c>
    </row>
    <row r="9813" spans="1:3" x14ac:dyDescent="0.25">
      <c r="A9813" s="12" t="str">
        <f>("87-42612")</f>
        <v>87-42612</v>
      </c>
      <c r="B9813" s="15" t="s">
        <v>14398</v>
      </c>
      <c r="C9813" s="32">
        <v>43.75</v>
      </c>
    </row>
    <row r="9814" spans="1:3" x14ac:dyDescent="0.25">
      <c r="A9814" s="12" t="str">
        <f>("87-42613")</f>
        <v>87-42613</v>
      </c>
      <c r="B9814" s="15" t="s">
        <v>14399</v>
      </c>
      <c r="C9814" s="32">
        <v>117.5</v>
      </c>
    </row>
    <row r="9815" spans="1:3" x14ac:dyDescent="0.25">
      <c r="A9815" s="12" t="str">
        <f>("87-42614")</f>
        <v>87-42614</v>
      </c>
      <c r="B9815" s="15" t="s">
        <v>14400</v>
      </c>
      <c r="C9815" s="32">
        <v>202.5</v>
      </c>
    </row>
    <row r="9816" spans="1:3" x14ac:dyDescent="0.25">
      <c r="A9816" s="12" t="str">
        <f>("87-42618")</f>
        <v>87-42618</v>
      </c>
      <c r="B9816" s="15" t="s">
        <v>14401</v>
      </c>
      <c r="C9816" s="32">
        <v>15</v>
      </c>
    </row>
    <row r="9817" spans="1:3" x14ac:dyDescent="0.25">
      <c r="A9817" s="12" t="str">
        <f>("87-42619")</f>
        <v>87-42619</v>
      </c>
      <c r="B9817" s="15" t="s">
        <v>14402</v>
      </c>
      <c r="C9817" s="32">
        <v>65</v>
      </c>
    </row>
    <row r="9818" spans="1:3" x14ac:dyDescent="0.25">
      <c r="A9818" s="12" t="str">
        <f>("87-42620")</f>
        <v>87-42620</v>
      </c>
      <c r="B9818" s="15" t="s">
        <v>14403</v>
      </c>
      <c r="C9818" s="32">
        <v>76.25</v>
      </c>
    </row>
    <row r="9819" spans="1:3" x14ac:dyDescent="0.25">
      <c r="A9819" s="12" t="str">
        <f>("89-10917")</f>
        <v>89-10917</v>
      </c>
      <c r="B9819" s="15" t="s">
        <v>14404</v>
      </c>
      <c r="C9819" s="32">
        <v>106.25</v>
      </c>
    </row>
    <row r="9820" spans="1:3" x14ac:dyDescent="0.25">
      <c r="A9820" s="12" t="str">
        <f>("89-24612")</f>
        <v>89-24612</v>
      </c>
      <c r="B9820" s="15" t="s">
        <v>14405</v>
      </c>
      <c r="C9820" s="32">
        <v>2.5</v>
      </c>
    </row>
    <row r="9821" spans="1:3" x14ac:dyDescent="0.25">
      <c r="A9821" s="12" t="str">
        <f>("89-24640")</f>
        <v>89-24640</v>
      </c>
      <c r="B9821" s="15" t="s">
        <v>14406</v>
      </c>
      <c r="C9821" s="32">
        <v>63.75</v>
      </c>
    </row>
    <row r="9822" spans="1:3" x14ac:dyDescent="0.25">
      <c r="A9822" s="12" t="str">
        <f>("89-24642")</f>
        <v>89-24642</v>
      </c>
      <c r="B9822" s="15" t="s">
        <v>14407</v>
      </c>
      <c r="C9822" s="32">
        <v>337.5</v>
      </c>
    </row>
    <row r="9823" spans="1:3" x14ac:dyDescent="0.25">
      <c r="A9823" s="12" t="str">
        <f>("89-30154")</f>
        <v>89-30154</v>
      </c>
      <c r="B9823" s="15" t="s">
        <v>14408</v>
      </c>
      <c r="C9823" s="32">
        <v>13.75</v>
      </c>
    </row>
    <row r="9824" spans="1:3" x14ac:dyDescent="0.25">
      <c r="A9824" s="12" t="str">
        <f>("89-30155")</f>
        <v>89-30155</v>
      </c>
      <c r="B9824" s="15" t="s">
        <v>14409</v>
      </c>
      <c r="C9824" s="32">
        <v>5</v>
      </c>
    </row>
    <row r="9825" spans="1:3" x14ac:dyDescent="0.25">
      <c r="A9825" s="12" t="str">
        <f>("89-30156")</f>
        <v>89-30156</v>
      </c>
      <c r="B9825" s="15" t="s">
        <v>14410</v>
      </c>
      <c r="C9825" s="32">
        <v>57.5</v>
      </c>
    </row>
    <row r="9826" spans="1:3" x14ac:dyDescent="0.25">
      <c r="A9826" s="12" t="str">
        <f>("89-30158")</f>
        <v>89-30158</v>
      </c>
      <c r="B9826" s="15" t="s">
        <v>14411</v>
      </c>
      <c r="C9826" s="32">
        <v>235</v>
      </c>
    </row>
    <row r="9827" spans="1:3" x14ac:dyDescent="0.25">
      <c r="A9827" s="12" t="str">
        <f>("89-30159")</f>
        <v>89-30159</v>
      </c>
      <c r="B9827" s="15" t="s">
        <v>14412</v>
      </c>
      <c r="C9827" s="32">
        <v>263.75</v>
      </c>
    </row>
    <row r="9828" spans="1:3" x14ac:dyDescent="0.25">
      <c r="A9828" s="12" t="str">
        <f>("89-30160")</f>
        <v>89-30160</v>
      </c>
      <c r="B9828" s="15"/>
      <c r="C9828" s="32">
        <v>40</v>
      </c>
    </row>
    <row r="9829" spans="1:3" x14ac:dyDescent="0.25">
      <c r="A9829" s="12" t="str">
        <f>("89-42676")</f>
        <v>89-42676</v>
      </c>
      <c r="B9829" s="15" t="s">
        <v>14413</v>
      </c>
      <c r="C9829" s="32">
        <v>85</v>
      </c>
    </row>
    <row r="9830" spans="1:3" x14ac:dyDescent="0.25">
      <c r="A9830" s="12" t="str">
        <f>("89-42677")</f>
        <v>89-42677</v>
      </c>
      <c r="B9830" s="15" t="s">
        <v>14414</v>
      </c>
      <c r="C9830" s="32">
        <v>85</v>
      </c>
    </row>
    <row r="9831" spans="1:3" x14ac:dyDescent="0.25">
      <c r="A9831" s="12" t="str">
        <f>("89-42678")</f>
        <v>89-42678</v>
      </c>
      <c r="B9831" s="15" t="s">
        <v>14415</v>
      </c>
      <c r="C9831" s="32">
        <v>63.75</v>
      </c>
    </row>
    <row r="9832" spans="1:3" x14ac:dyDescent="0.25">
      <c r="A9832" s="12" t="str">
        <f>("89-42680")</f>
        <v>89-42680</v>
      </c>
      <c r="B9832" s="15" t="s">
        <v>14416</v>
      </c>
      <c r="C9832" s="32">
        <v>12.5</v>
      </c>
    </row>
    <row r="9833" spans="1:3" ht="31.5" x14ac:dyDescent="0.25">
      <c r="A9833" s="12" t="str">
        <f>("89-42681")</f>
        <v>89-42681</v>
      </c>
      <c r="B9833" s="15" t="s">
        <v>14417</v>
      </c>
      <c r="C9833" s="32">
        <v>32.5</v>
      </c>
    </row>
    <row r="9834" spans="1:3" x14ac:dyDescent="0.25">
      <c r="A9834" s="12" t="str">
        <f>("90-12865")</f>
        <v>90-12865</v>
      </c>
      <c r="B9834" s="15" t="s">
        <v>14418</v>
      </c>
      <c r="C9834" s="32">
        <v>45</v>
      </c>
    </row>
    <row r="9835" spans="1:3" x14ac:dyDescent="0.25">
      <c r="A9835" s="12" t="str">
        <f>("90-12877")</f>
        <v>90-12877</v>
      </c>
      <c r="B9835" s="15" t="s">
        <v>14419</v>
      </c>
      <c r="C9835" s="32">
        <v>142.5</v>
      </c>
    </row>
    <row r="9836" spans="1:3" x14ac:dyDescent="0.25">
      <c r="A9836" s="12" t="str">
        <f>("90-12879")</f>
        <v>90-12879</v>
      </c>
      <c r="B9836" s="15" t="s">
        <v>14420</v>
      </c>
      <c r="C9836" s="32">
        <v>142.5</v>
      </c>
    </row>
    <row r="9837" spans="1:3" x14ac:dyDescent="0.25">
      <c r="A9837" s="12" t="str">
        <f>("90-14140")</f>
        <v>90-14140</v>
      </c>
      <c r="B9837" s="15" t="s">
        <v>14421</v>
      </c>
      <c r="C9837" s="32">
        <v>27.5</v>
      </c>
    </row>
    <row r="9838" spans="1:3" x14ac:dyDescent="0.25">
      <c r="A9838" s="12" t="str">
        <f>("90-20508")</f>
        <v>90-20508</v>
      </c>
      <c r="B9838" s="15" t="s">
        <v>14422</v>
      </c>
      <c r="C9838" s="32">
        <v>76.25</v>
      </c>
    </row>
    <row r="9839" spans="1:3" x14ac:dyDescent="0.25">
      <c r="A9839" s="12" t="str">
        <f>("90-24542")</f>
        <v>90-24542</v>
      </c>
      <c r="B9839" s="15" t="s">
        <v>14423</v>
      </c>
      <c r="C9839" s="32">
        <v>1.25</v>
      </c>
    </row>
    <row r="9840" spans="1:3" x14ac:dyDescent="0.25">
      <c r="A9840" s="12" t="str">
        <f>("90-24546")</f>
        <v>90-24546</v>
      </c>
      <c r="B9840" s="15" t="s">
        <v>14424</v>
      </c>
      <c r="C9840" s="32">
        <v>5</v>
      </c>
    </row>
    <row r="9841" spans="1:3" x14ac:dyDescent="0.25">
      <c r="A9841" s="12" t="str">
        <f>("90-24547")</f>
        <v>90-24547</v>
      </c>
      <c r="B9841" s="15" t="s">
        <v>14425</v>
      </c>
      <c r="C9841" s="32">
        <v>17.5</v>
      </c>
    </row>
    <row r="9842" spans="1:3" x14ac:dyDescent="0.25">
      <c r="A9842" s="12" t="str">
        <f>("90-24563")</f>
        <v>90-24563</v>
      </c>
      <c r="B9842" s="15" t="s">
        <v>14426</v>
      </c>
      <c r="C9842" s="32">
        <v>328.75</v>
      </c>
    </row>
    <row r="9843" spans="1:3" x14ac:dyDescent="0.25">
      <c r="A9843" s="12" t="str">
        <f>("90-24569")</f>
        <v>90-24569</v>
      </c>
      <c r="B9843" s="15" t="s">
        <v>14427</v>
      </c>
      <c r="C9843" s="32">
        <v>17.5</v>
      </c>
    </row>
    <row r="9844" spans="1:3" x14ac:dyDescent="0.25">
      <c r="A9844" s="12" t="str">
        <f>("90-24571")</f>
        <v>90-24571</v>
      </c>
      <c r="B9844" s="15" t="s">
        <v>14428</v>
      </c>
      <c r="C9844" s="32">
        <v>43.75</v>
      </c>
    </row>
    <row r="9845" spans="1:3" x14ac:dyDescent="0.25">
      <c r="A9845" s="12" t="str">
        <f>("90-24572")</f>
        <v>90-24572</v>
      </c>
      <c r="B9845" s="15" t="s">
        <v>14429</v>
      </c>
      <c r="C9845" s="32">
        <v>106.25</v>
      </c>
    </row>
    <row r="9846" spans="1:3" ht="31.5" x14ac:dyDescent="0.25">
      <c r="A9846" s="12" t="str">
        <f>("90-24573")</f>
        <v>90-24573</v>
      </c>
      <c r="B9846" s="15" t="s">
        <v>14430</v>
      </c>
      <c r="C9846" s="32">
        <v>16.25</v>
      </c>
    </row>
    <row r="9847" spans="1:3" x14ac:dyDescent="0.25">
      <c r="A9847" s="12" t="str">
        <f>("90-24575")</f>
        <v>90-24575</v>
      </c>
      <c r="B9847" s="15" t="s">
        <v>14431</v>
      </c>
      <c r="C9847" s="32">
        <v>142.5</v>
      </c>
    </row>
    <row r="9848" spans="1:3" x14ac:dyDescent="0.25">
      <c r="A9848" s="12" t="str">
        <f>("90-24576")</f>
        <v>90-24576</v>
      </c>
      <c r="B9848" s="15" t="s">
        <v>14432</v>
      </c>
      <c r="C9848" s="32">
        <v>158.75</v>
      </c>
    </row>
    <row r="9849" spans="1:3" x14ac:dyDescent="0.25">
      <c r="A9849" s="12" t="str">
        <f>("90-24577")</f>
        <v>90-24577</v>
      </c>
      <c r="B9849" s="15" t="s">
        <v>14433</v>
      </c>
      <c r="C9849" s="32">
        <v>25</v>
      </c>
    </row>
    <row r="9850" spans="1:3" x14ac:dyDescent="0.25">
      <c r="A9850" s="12" t="str">
        <f>("90-24579")</f>
        <v>90-24579</v>
      </c>
      <c r="B9850" s="15" t="s">
        <v>14434</v>
      </c>
      <c r="C9850" s="32">
        <v>17.5</v>
      </c>
    </row>
    <row r="9851" spans="1:3" x14ac:dyDescent="0.25">
      <c r="A9851" s="12" t="str">
        <f>("90-24581")</f>
        <v>90-24581</v>
      </c>
      <c r="B9851" s="15" t="s">
        <v>14435</v>
      </c>
      <c r="C9851" s="32">
        <v>5</v>
      </c>
    </row>
    <row r="9852" spans="1:3" x14ac:dyDescent="0.25">
      <c r="A9852" s="12" t="str">
        <f>("90-24595")</f>
        <v>90-24595</v>
      </c>
      <c r="B9852" s="15" t="s">
        <v>14436</v>
      </c>
      <c r="C9852" s="32">
        <v>470</v>
      </c>
    </row>
    <row r="9853" spans="1:3" x14ac:dyDescent="0.25">
      <c r="A9853" s="12" t="str">
        <f>("90-24597")</f>
        <v>90-24597</v>
      </c>
      <c r="B9853" s="15" t="s">
        <v>14437</v>
      </c>
      <c r="C9853" s="32">
        <v>26.25</v>
      </c>
    </row>
    <row r="9854" spans="1:3" x14ac:dyDescent="0.25">
      <c r="A9854" s="12" t="str">
        <f>("90-24598")</f>
        <v>90-24598</v>
      </c>
      <c r="B9854" s="15" t="s">
        <v>14438</v>
      </c>
      <c r="C9854" s="32">
        <v>506.25</v>
      </c>
    </row>
    <row r="9855" spans="1:3" x14ac:dyDescent="0.25">
      <c r="A9855" s="12" t="str">
        <f>("90-24599")</f>
        <v>90-24599</v>
      </c>
      <c r="B9855" s="15" t="s">
        <v>14439</v>
      </c>
      <c r="C9855" s="32">
        <v>33.75</v>
      </c>
    </row>
    <row r="9856" spans="1:3" x14ac:dyDescent="0.25">
      <c r="A9856" s="12" t="str">
        <f>("90-24600")</f>
        <v>90-24600</v>
      </c>
      <c r="B9856" s="15" t="s">
        <v>14440</v>
      </c>
      <c r="C9856" s="32">
        <v>61.25</v>
      </c>
    </row>
    <row r="9857" spans="1:3" x14ac:dyDescent="0.25">
      <c r="A9857" s="12" t="str">
        <f>("90-24601")</f>
        <v>90-24601</v>
      </c>
      <c r="B9857" s="15" t="s">
        <v>14441</v>
      </c>
      <c r="C9857" s="32">
        <v>417.5</v>
      </c>
    </row>
    <row r="9858" spans="1:3" x14ac:dyDescent="0.25">
      <c r="A9858" s="12" t="str">
        <f>("90-24602")</f>
        <v>90-24602</v>
      </c>
      <c r="B9858" s="15" t="s">
        <v>14442</v>
      </c>
      <c r="C9858" s="32">
        <v>183.75</v>
      </c>
    </row>
    <row r="9859" spans="1:3" x14ac:dyDescent="0.25">
      <c r="A9859" s="12" t="str">
        <f>("90-32487")</f>
        <v>90-32487</v>
      </c>
      <c r="B9859" s="15" t="s">
        <v>14443</v>
      </c>
      <c r="C9859" s="32">
        <v>43.75</v>
      </c>
    </row>
    <row r="9860" spans="1:3" x14ac:dyDescent="0.25">
      <c r="A9860" s="12" t="str">
        <f>("90-32491")</f>
        <v>90-32491</v>
      </c>
      <c r="B9860" s="15"/>
      <c r="C9860" s="32">
        <v>13.75</v>
      </c>
    </row>
    <row r="9861" spans="1:3" x14ac:dyDescent="0.25">
      <c r="A9861" s="12" t="str">
        <f>("90-32492")</f>
        <v>90-32492</v>
      </c>
      <c r="B9861" s="15" t="s">
        <v>14444</v>
      </c>
      <c r="C9861" s="32">
        <v>126.25</v>
      </c>
    </row>
    <row r="9862" spans="1:3" x14ac:dyDescent="0.25">
      <c r="A9862" s="12" t="str">
        <f>("90-32493")</f>
        <v>90-32493</v>
      </c>
      <c r="B9862" s="15" t="s">
        <v>14445</v>
      </c>
      <c r="C9862" s="32">
        <v>151.25</v>
      </c>
    </row>
    <row r="9863" spans="1:3" x14ac:dyDescent="0.25">
      <c r="A9863" s="12" t="str">
        <f>("90-32494")</f>
        <v>90-32494</v>
      </c>
      <c r="B9863" s="15" t="s">
        <v>14446</v>
      </c>
      <c r="C9863" s="32">
        <v>63.75</v>
      </c>
    </row>
    <row r="9864" spans="1:3" x14ac:dyDescent="0.25">
      <c r="A9864" s="12" t="str">
        <f>("90-32505")</f>
        <v>90-32505</v>
      </c>
      <c r="B9864" s="15" t="s">
        <v>14447</v>
      </c>
      <c r="C9864" s="32">
        <v>128.75</v>
      </c>
    </row>
    <row r="9865" spans="1:3" x14ac:dyDescent="0.25">
      <c r="A9865" s="12" t="str">
        <f>("90-32512")</f>
        <v>90-32512</v>
      </c>
      <c r="B9865" s="15" t="s">
        <v>14448</v>
      </c>
      <c r="C9865" s="32">
        <v>45</v>
      </c>
    </row>
    <row r="9866" spans="1:3" x14ac:dyDescent="0.25">
      <c r="A9866" s="12" t="str">
        <f>("90-32513")</f>
        <v>90-32513</v>
      </c>
      <c r="B9866" s="15" t="s">
        <v>14449</v>
      </c>
      <c r="C9866" s="32">
        <v>357.5</v>
      </c>
    </row>
    <row r="9867" spans="1:3" x14ac:dyDescent="0.25">
      <c r="A9867" s="12" t="str">
        <f>("90-32514")</f>
        <v>90-32514</v>
      </c>
      <c r="B9867" s="15" t="s">
        <v>14450</v>
      </c>
      <c r="C9867" s="32">
        <v>357.5</v>
      </c>
    </row>
    <row r="9868" spans="1:3" ht="31.5" x14ac:dyDescent="0.25">
      <c r="A9868" s="12" t="str">
        <f>("90-40308-01")</f>
        <v>90-40308-01</v>
      </c>
      <c r="B9868" s="15" t="s">
        <v>14451</v>
      </c>
      <c r="C9868" s="32">
        <v>73.75</v>
      </c>
    </row>
    <row r="9869" spans="1:3" x14ac:dyDescent="0.25">
      <c r="A9869" s="12" t="str">
        <f>("90-41409")</f>
        <v>90-41409</v>
      </c>
      <c r="B9869" s="15" t="s">
        <v>14452</v>
      </c>
      <c r="C9869" s="32">
        <v>362.5</v>
      </c>
    </row>
    <row r="9870" spans="1:3" x14ac:dyDescent="0.25">
      <c r="A9870" s="12" t="str">
        <f>("90-41432")</f>
        <v>90-41432</v>
      </c>
      <c r="B9870" s="15"/>
      <c r="C9870" s="32">
        <v>361.25</v>
      </c>
    </row>
    <row r="9871" spans="1:3" x14ac:dyDescent="0.25">
      <c r="A9871" s="12" t="str">
        <f>("90-41436")</f>
        <v>90-41436</v>
      </c>
      <c r="B9871" s="15" t="s">
        <v>14453</v>
      </c>
      <c r="C9871" s="32">
        <v>20</v>
      </c>
    </row>
    <row r="9872" spans="1:3" x14ac:dyDescent="0.25">
      <c r="A9872" s="12" t="str">
        <f>("90-41437")</f>
        <v>90-41437</v>
      </c>
      <c r="B9872" s="15" t="s">
        <v>14454</v>
      </c>
      <c r="C9872" s="32">
        <v>13.75</v>
      </c>
    </row>
    <row r="9873" spans="1:3" x14ac:dyDescent="0.25">
      <c r="A9873" s="12" t="str">
        <f>("90-41438")</f>
        <v>90-41438</v>
      </c>
      <c r="B9873" s="15" t="s">
        <v>14455</v>
      </c>
      <c r="C9873" s="32">
        <v>31.25</v>
      </c>
    </row>
    <row r="9874" spans="1:3" x14ac:dyDescent="0.25">
      <c r="A9874" s="12" t="str">
        <f>("90-41440")</f>
        <v>90-41440</v>
      </c>
      <c r="B9874" s="15" t="s">
        <v>14456</v>
      </c>
      <c r="C9874" s="32">
        <v>20</v>
      </c>
    </row>
    <row r="9875" spans="1:3" x14ac:dyDescent="0.25">
      <c r="A9875" s="12" t="str">
        <f>("90-41443")</f>
        <v>90-41443</v>
      </c>
      <c r="B9875" s="15" t="s">
        <v>14457</v>
      </c>
      <c r="C9875" s="32">
        <v>72.5</v>
      </c>
    </row>
    <row r="9876" spans="1:3" x14ac:dyDescent="0.25">
      <c r="A9876" s="12" t="str">
        <f>("90-41446")</f>
        <v>90-41446</v>
      </c>
      <c r="B9876" s="15" t="s">
        <v>14458</v>
      </c>
      <c r="C9876" s="32">
        <v>81.25</v>
      </c>
    </row>
    <row r="9877" spans="1:3" x14ac:dyDescent="0.25">
      <c r="A9877" s="12" t="str">
        <f>("90-41449")</f>
        <v>90-41449</v>
      </c>
      <c r="B9877" s="15" t="s">
        <v>14459</v>
      </c>
      <c r="C9877" s="32">
        <v>67.5</v>
      </c>
    </row>
    <row r="9878" spans="1:3" x14ac:dyDescent="0.25">
      <c r="A9878" s="12" t="str">
        <f>("90-41452")</f>
        <v>90-41452</v>
      </c>
      <c r="B9878" s="15" t="s">
        <v>14460</v>
      </c>
      <c r="C9878" s="32">
        <v>488.75</v>
      </c>
    </row>
    <row r="9879" spans="1:3" x14ac:dyDescent="0.25">
      <c r="A9879" s="12" t="str">
        <f>("90-41455")</f>
        <v>90-41455</v>
      </c>
      <c r="B9879" s="15" t="s">
        <v>14461</v>
      </c>
      <c r="C9879" s="32">
        <v>488.75</v>
      </c>
    </row>
    <row r="9880" spans="1:3" x14ac:dyDescent="0.25">
      <c r="A9880" s="12" t="str">
        <f>("90-42471")</f>
        <v>90-42471</v>
      </c>
      <c r="B9880" s="15" t="s">
        <v>14462</v>
      </c>
      <c r="C9880" s="32">
        <v>20</v>
      </c>
    </row>
    <row r="9881" spans="1:3" x14ac:dyDescent="0.25">
      <c r="A9881" s="12" t="str">
        <f>("90-42615")</f>
        <v>90-42615</v>
      </c>
      <c r="B9881" s="15" t="s">
        <v>14463</v>
      </c>
      <c r="C9881" s="32">
        <v>17.5</v>
      </c>
    </row>
    <row r="9882" spans="1:3" x14ac:dyDescent="0.25">
      <c r="A9882" s="12" t="str">
        <f>("90-42638")</f>
        <v>90-42638</v>
      </c>
      <c r="B9882" s="15"/>
      <c r="C9882" s="32">
        <v>56.25</v>
      </c>
    </row>
    <row r="9883" spans="1:3" x14ac:dyDescent="0.25">
      <c r="A9883" s="12" t="str">
        <f>("90-42639")</f>
        <v>90-42639</v>
      </c>
      <c r="B9883" s="15" t="s">
        <v>14375</v>
      </c>
      <c r="C9883" s="32">
        <v>118.75</v>
      </c>
    </row>
    <row r="9884" spans="1:3" ht="31.5" x14ac:dyDescent="0.25">
      <c r="A9884" s="12" t="str">
        <f>("90-42642")</f>
        <v>90-42642</v>
      </c>
      <c r="B9884" s="15" t="s">
        <v>14464</v>
      </c>
      <c r="C9884" s="32">
        <v>346.25</v>
      </c>
    </row>
    <row r="9885" spans="1:3" ht="31.5" x14ac:dyDescent="0.25">
      <c r="A9885" s="12" t="str">
        <f>("90-42643")</f>
        <v>90-42643</v>
      </c>
      <c r="B9885" s="15" t="s">
        <v>14465</v>
      </c>
      <c r="C9885" s="32">
        <v>520</v>
      </c>
    </row>
    <row r="9886" spans="1:3" x14ac:dyDescent="0.25">
      <c r="A9886" s="12" t="str">
        <f>("90-42645")</f>
        <v>90-42645</v>
      </c>
      <c r="B9886" s="15" t="s">
        <v>14466</v>
      </c>
      <c r="C9886" s="32">
        <v>15</v>
      </c>
    </row>
    <row r="9887" spans="1:3" x14ac:dyDescent="0.25">
      <c r="A9887" s="12" t="str">
        <f>("90-42646")</f>
        <v>90-42646</v>
      </c>
      <c r="B9887" s="15" t="s">
        <v>14467</v>
      </c>
      <c r="C9887" s="32">
        <v>491.25</v>
      </c>
    </row>
    <row r="9888" spans="1:3" x14ac:dyDescent="0.25">
      <c r="A9888" s="12" t="str">
        <f>("90-42648")</f>
        <v>90-42648</v>
      </c>
      <c r="B9888" s="15" t="s">
        <v>14468</v>
      </c>
      <c r="C9888" s="32">
        <v>333.75</v>
      </c>
    </row>
    <row r="9889" spans="1:3" x14ac:dyDescent="0.25">
      <c r="A9889" s="12" t="str">
        <f>("90-42649")</f>
        <v>90-42649</v>
      </c>
      <c r="B9889" s="15" t="s">
        <v>14469</v>
      </c>
      <c r="C9889" s="32">
        <v>16.25</v>
      </c>
    </row>
    <row r="9890" spans="1:3" x14ac:dyDescent="0.25">
      <c r="A9890" s="12" t="str">
        <f>("90-42651")</f>
        <v>90-42651</v>
      </c>
      <c r="B9890" s="15" t="s">
        <v>14470</v>
      </c>
      <c r="C9890" s="32">
        <v>390</v>
      </c>
    </row>
    <row r="9891" spans="1:3" x14ac:dyDescent="0.25">
      <c r="A9891" s="12" t="str">
        <f>("90-42652")</f>
        <v>90-42652</v>
      </c>
      <c r="B9891" s="15" t="s">
        <v>14471</v>
      </c>
      <c r="C9891" s="32">
        <v>77.5</v>
      </c>
    </row>
    <row r="9892" spans="1:3" x14ac:dyDescent="0.25">
      <c r="A9892" s="12" t="str">
        <f>("90-42654")</f>
        <v>90-42654</v>
      </c>
      <c r="B9892" s="15" t="s">
        <v>14472</v>
      </c>
      <c r="C9892" s="32">
        <v>96.25</v>
      </c>
    </row>
    <row r="9893" spans="1:3" x14ac:dyDescent="0.25">
      <c r="A9893" s="12" t="str">
        <f>("90-42655")</f>
        <v>90-42655</v>
      </c>
      <c r="B9893" s="15" t="s">
        <v>14473</v>
      </c>
      <c r="C9893" s="32">
        <v>33.75</v>
      </c>
    </row>
    <row r="9894" spans="1:3" x14ac:dyDescent="0.25">
      <c r="A9894" s="12" t="str">
        <f>("90-42657")</f>
        <v>90-42657</v>
      </c>
      <c r="B9894" s="15" t="s">
        <v>14474</v>
      </c>
      <c r="C9894" s="32">
        <v>26.25</v>
      </c>
    </row>
    <row r="9895" spans="1:3" x14ac:dyDescent="0.25">
      <c r="A9895" s="12" t="str">
        <f>("90-42658")</f>
        <v>90-42658</v>
      </c>
      <c r="B9895" s="15" t="s">
        <v>14475</v>
      </c>
      <c r="C9895" s="32">
        <v>126.25</v>
      </c>
    </row>
    <row r="9896" spans="1:3" x14ac:dyDescent="0.25">
      <c r="A9896" s="12" t="str">
        <f>("90-42660")</f>
        <v>90-42660</v>
      </c>
      <c r="B9896" s="15" t="s">
        <v>14476</v>
      </c>
      <c r="C9896" s="32">
        <v>36.25</v>
      </c>
    </row>
    <row r="9897" spans="1:3" x14ac:dyDescent="0.25">
      <c r="A9897" s="12" t="str">
        <f>("90-42661")</f>
        <v>90-42661</v>
      </c>
      <c r="B9897" s="15" t="s">
        <v>14477</v>
      </c>
      <c r="C9897" s="32">
        <v>116.25</v>
      </c>
    </row>
    <row r="9898" spans="1:3" ht="31.5" x14ac:dyDescent="0.25">
      <c r="A9898" s="12" t="str">
        <f>("90-42663")</f>
        <v>90-42663</v>
      </c>
      <c r="B9898" s="15" t="s">
        <v>14478</v>
      </c>
      <c r="C9898" s="32">
        <v>50</v>
      </c>
    </row>
    <row r="9899" spans="1:3" x14ac:dyDescent="0.25">
      <c r="A9899" s="12" t="str">
        <f>("90-42666")</f>
        <v>90-42666</v>
      </c>
      <c r="B9899" s="15" t="s">
        <v>14479</v>
      </c>
      <c r="C9899" s="32">
        <v>51.25</v>
      </c>
    </row>
    <row r="9900" spans="1:3" x14ac:dyDescent="0.25">
      <c r="A9900" s="12" t="str">
        <f>("90-42669")</f>
        <v>90-42669</v>
      </c>
      <c r="B9900" s="15" t="s">
        <v>14480</v>
      </c>
      <c r="C9900" s="32">
        <v>200</v>
      </c>
    </row>
    <row r="9901" spans="1:3" x14ac:dyDescent="0.25">
      <c r="A9901" s="12" t="str">
        <f>("90-42672")</f>
        <v>90-42672</v>
      </c>
      <c r="B9901" s="15" t="s">
        <v>14481</v>
      </c>
      <c r="C9901" s="32">
        <v>212.5</v>
      </c>
    </row>
    <row r="9902" spans="1:3" x14ac:dyDescent="0.25">
      <c r="A9902" s="12" t="str">
        <f>("90-42675")</f>
        <v>90-42675</v>
      </c>
      <c r="B9902" s="15" t="s">
        <v>14482</v>
      </c>
      <c r="C9902" s="32">
        <v>227.5</v>
      </c>
    </row>
    <row r="9903" spans="1:3" x14ac:dyDescent="0.25">
      <c r="A9903" s="12" t="str">
        <f>("90-42678")</f>
        <v>90-42678</v>
      </c>
      <c r="B9903" s="15" t="s">
        <v>14483</v>
      </c>
      <c r="C9903" s="32">
        <v>258.75</v>
      </c>
    </row>
    <row r="9904" spans="1:3" x14ac:dyDescent="0.25">
      <c r="A9904" s="12" t="str">
        <f>("90-42681")</f>
        <v>90-42681</v>
      </c>
      <c r="B9904" s="15" t="s">
        <v>14484</v>
      </c>
      <c r="C9904" s="32">
        <v>83.75</v>
      </c>
    </row>
    <row r="9905" spans="1:3" x14ac:dyDescent="0.25">
      <c r="A9905" s="12" t="str">
        <f>("90-42684")</f>
        <v>90-42684</v>
      </c>
      <c r="B9905" s="15" t="s">
        <v>14485</v>
      </c>
      <c r="C9905" s="32">
        <v>283.75</v>
      </c>
    </row>
    <row r="9906" spans="1:3" x14ac:dyDescent="0.25">
      <c r="A9906" s="12" t="str">
        <f>("90-42687")</f>
        <v>90-42687</v>
      </c>
      <c r="B9906" s="15" t="s">
        <v>14486</v>
      </c>
      <c r="C9906" s="32">
        <v>65</v>
      </c>
    </row>
    <row r="9907" spans="1:3" x14ac:dyDescent="0.25">
      <c r="A9907" s="12" t="str">
        <f>("90-42690")</f>
        <v>90-42690</v>
      </c>
      <c r="B9907" s="15" t="s">
        <v>14487</v>
      </c>
      <c r="C9907" s="32">
        <v>66.25</v>
      </c>
    </row>
    <row r="9908" spans="1:3" x14ac:dyDescent="0.25">
      <c r="A9908" s="12" t="str">
        <f>("90-42693")</f>
        <v>90-42693</v>
      </c>
      <c r="B9908" s="15" t="s">
        <v>14488</v>
      </c>
      <c r="C9908" s="32">
        <v>36.25</v>
      </c>
    </row>
    <row r="9909" spans="1:3" x14ac:dyDescent="0.25">
      <c r="A9909" s="12" t="str">
        <f>("90-42739")</f>
        <v>90-42739</v>
      </c>
      <c r="B9909" s="15" t="s">
        <v>14489</v>
      </c>
      <c r="C9909" s="32">
        <v>198.75</v>
      </c>
    </row>
    <row r="9910" spans="1:3" x14ac:dyDescent="0.25">
      <c r="A9910" s="12" t="str">
        <f>("90-42740")</f>
        <v>90-42740</v>
      </c>
      <c r="B9910" s="15" t="s">
        <v>14490</v>
      </c>
      <c r="C9910" s="32">
        <v>30</v>
      </c>
    </row>
    <row r="9911" spans="1:3" x14ac:dyDescent="0.25">
      <c r="A9911" s="12" t="str">
        <f>("90-42742")</f>
        <v>90-42742</v>
      </c>
      <c r="B9911" s="15" t="s">
        <v>14491</v>
      </c>
      <c r="C9911" s="32">
        <v>60</v>
      </c>
    </row>
    <row r="9912" spans="1:3" x14ac:dyDescent="0.25">
      <c r="A9912" s="12" t="str">
        <f>("90-42743")</f>
        <v>90-42743</v>
      </c>
      <c r="B9912" s="15" t="s">
        <v>14492</v>
      </c>
      <c r="C9912" s="32">
        <v>17.5</v>
      </c>
    </row>
    <row r="9913" spans="1:3" x14ac:dyDescent="0.25">
      <c r="A9913" s="12" t="str">
        <f>("90-42744")</f>
        <v>90-42744</v>
      </c>
      <c r="B9913" s="15" t="s">
        <v>14473</v>
      </c>
      <c r="C9913" s="32">
        <v>51.25</v>
      </c>
    </row>
    <row r="9914" spans="1:3" x14ac:dyDescent="0.25">
      <c r="A9914" s="12" t="str">
        <f>("90-42745")</f>
        <v>90-42745</v>
      </c>
      <c r="B9914" s="15" t="s">
        <v>14493</v>
      </c>
      <c r="C9914" s="32">
        <v>36.25</v>
      </c>
    </row>
    <row r="9915" spans="1:3" x14ac:dyDescent="0.25">
      <c r="A9915" s="12" t="str">
        <f>("90-42746")</f>
        <v>90-42746</v>
      </c>
      <c r="B9915" s="15" t="s">
        <v>14494</v>
      </c>
      <c r="C9915" s="32">
        <v>80</v>
      </c>
    </row>
    <row r="9916" spans="1:3" x14ac:dyDescent="0.25">
      <c r="A9916" s="12" t="str">
        <f>("90-42747")</f>
        <v>90-42747</v>
      </c>
      <c r="B9916" s="15" t="s">
        <v>14495</v>
      </c>
      <c r="C9916" s="32">
        <v>123.75</v>
      </c>
    </row>
    <row r="9917" spans="1:3" x14ac:dyDescent="0.25">
      <c r="A9917" s="12" t="str">
        <f>("90-42748")</f>
        <v>90-42748</v>
      </c>
      <c r="B9917" s="15" t="s">
        <v>14496</v>
      </c>
      <c r="C9917" s="32">
        <v>412.5</v>
      </c>
    </row>
    <row r="9918" spans="1:3" x14ac:dyDescent="0.25">
      <c r="A9918" s="12" t="str">
        <f>("90-42749")</f>
        <v>90-42749</v>
      </c>
      <c r="B9918" s="15" t="s">
        <v>14497</v>
      </c>
      <c r="C9918" s="32">
        <v>535</v>
      </c>
    </row>
    <row r="9919" spans="1:3" x14ac:dyDescent="0.25">
      <c r="A9919" s="12" t="str">
        <f>("90-42752")</f>
        <v>90-42752</v>
      </c>
      <c r="B9919" s="15" t="s">
        <v>14498</v>
      </c>
      <c r="C9919" s="32">
        <v>33.75</v>
      </c>
    </row>
    <row r="9920" spans="1:3" x14ac:dyDescent="0.25">
      <c r="A9920" s="12" t="str">
        <f>("90-42753")</f>
        <v>90-42753</v>
      </c>
      <c r="B9920" s="15" t="s">
        <v>14499</v>
      </c>
      <c r="C9920" s="32">
        <v>18.75</v>
      </c>
    </row>
    <row r="9921" spans="1:3" x14ac:dyDescent="0.25">
      <c r="A9921" s="12" t="str">
        <f>("90-42754")</f>
        <v>90-42754</v>
      </c>
      <c r="B9921" s="15" t="s">
        <v>14500</v>
      </c>
      <c r="C9921" s="32">
        <v>226.25</v>
      </c>
    </row>
    <row r="9922" spans="1:3" x14ac:dyDescent="0.25">
      <c r="A9922" s="12" t="str">
        <f>("90-42755")</f>
        <v>90-42755</v>
      </c>
      <c r="B9922" s="15" t="s">
        <v>14501</v>
      </c>
      <c r="C9922" s="32">
        <v>303.75</v>
      </c>
    </row>
    <row r="9923" spans="1:3" x14ac:dyDescent="0.25">
      <c r="A9923" s="12" t="str">
        <f>("90-42756")</f>
        <v>90-42756</v>
      </c>
      <c r="B9923" s="15" t="s">
        <v>14502</v>
      </c>
      <c r="C9923" s="32">
        <v>341.25</v>
      </c>
    </row>
    <row r="9924" spans="1:3" x14ac:dyDescent="0.25">
      <c r="A9924" s="12" t="str">
        <f>("90-42759")</f>
        <v>90-42759</v>
      </c>
      <c r="B9924" s="15" t="s">
        <v>14503</v>
      </c>
      <c r="C9924" s="32">
        <v>13.75</v>
      </c>
    </row>
    <row r="9925" spans="1:3" x14ac:dyDescent="0.25">
      <c r="A9925" s="12" t="str">
        <f>("90-42760")</f>
        <v>90-42760</v>
      </c>
      <c r="B9925" s="15" t="s">
        <v>14504</v>
      </c>
      <c r="C9925" s="32">
        <v>56.25</v>
      </c>
    </row>
    <row r="9926" spans="1:3" x14ac:dyDescent="0.25">
      <c r="A9926" s="12" t="str">
        <f>("90-42761")</f>
        <v>90-42761</v>
      </c>
      <c r="B9926" s="15" t="s">
        <v>14505</v>
      </c>
      <c r="C9926" s="32">
        <v>16.25</v>
      </c>
    </row>
    <row r="9927" spans="1:3" x14ac:dyDescent="0.25">
      <c r="A9927" s="12" t="str">
        <f>("90-42762")</f>
        <v>90-42762</v>
      </c>
      <c r="B9927" s="15" t="s">
        <v>14506</v>
      </c>
      <c r="C9927" s="32">
        <v>8.75</v>
      </c>
    </row>
    <row r="9928" spans="1:3" x14ac:dyDescent="0.25">
      <c r="A9928" s="12" t="str">
        <f>("90-42763")</f>
        <v>90-42763</v>
      </c>
      <c r="B9928" s="15" t="s">
        <v>14507</v>
      </c>
      <c r="C9928" s="32">
        <v>102.5</v>
      </c>
    </row>
    <row r="9929" spans="1:3" x14ac:dyDescent="0.25">
      <c r="A9929" s="12" t="str">
        <f>("90-42764")</f>
        <v>90-42764</v>
      </c>
      <c r="B9929" s="15" t="s">
        <v>14508</v>
      </c>
      <c r="C9929" s="32">
        <v>6.25</v>
      </c>
    </row>
    <row r="9930" spans="1:3" x14ac:dyDescent="0.25">
      <c r="A9930" s="12" t="str">
        <f>("90-42765")</f>
        <v>90-42765</v>
      </c>
      <c r="B9930" s="15" t="s">
        <v>14509</v>
      </c>
      <c r="C9930" s="32">
        <v>151.25</v>
      </c>
    </row>
    <row r="9931" spans="1:3" x14ac:dyDescent="0.25">
      <c r="A9931" s="12" t="str">
        <f>("90-42766")</f>
        <v>90-42766</v>
      </c>
      <c r="B9931" s="15" t="s">
        <v>14510</v>
      </c>
      <c r="C9931" s="32">
        <v>23.75</v>
      </c>
    </row>
    <row r="9932" spans="1:3" x14ac:dyDescent="0.25">
      <c r="A9932" s="12" t="str">
        <f>("90-42767")</f>
        <v>90-42767</v>
      </c>
      <c r="B9932" s="15" t="s">
        <v>14511</v>
      </c>
      <c r="C9932" s="32">
        <v>32.5</v>
      </c>
    </row>
    <row r="9933" spans="1:3" x14ac:dyDescent="0.25">
      <c r="A9933" s="12" t="str">
        <f>("90-42768")</f>
        <v>90-42768</v>
      </c>
      <c r="B9933" s="15" t="s">
        <v>14512</v>
      </c>
      <c r="C9933" s="32">
        <v>45</v>
      </c>
    </row>
    <row r="9934" spans="1:3" x14ac:dyDescent="0.25">
      <c r="A9934" s="12" t="str">
        <f>("90-42769")</f>
        <v>90-42769</v>
      </c>
      <c r="B9934" s="15" t="s">
        <v>14513</v>
      </c>
      <c r="C9934" s="32">
        <v>13.75</v>
      </c>
    </row>
    <row r="9935" spans="1:3" x14ac:dyDescent="0.25">
      <c r="A9935" s="12" t="str">
        <f>("90-42770")</f>
        <v>90-42770</v>
      </c>
      <c r="B9935" s="15" t="s">
        <v>14514</v>
      </c>
      <c r="C9935" s="32">
        <v>285</v>
      </c>
    </row>
    <row r="9936" spans="1:3" x14ac:dyDescent="0.25">
      <c r="A9936" s="12" t="str">
        <f>("90-42771")</f>
        <v>90-42771</v>
      </c>
      <c r="B9936" s="15" t="s">
        <v>14515</v>
      </c>
      <c r="C9936" s="32">
        <v>11.25</v>
      </c>
    </row>
    <row r="9937" spans="1:3" x14ac:dyDescent="0.25">
      <c r="A9937" s="12" t="str">
        <f>("90-42772")</f>
        <v>90-42772</v>
      </c>
      <c r="B9937" s="15" t="s">
        <v>14516</v>
      </c>
      <c r="C9937" s="32">
        <v>157.5</v>
      </c>
    </row>
    <row r="9938" spans="1:3" x14ac:dyDescent="0.25">
      <c r="A9938" s="12" t="str">
        <f>("90-42774")</f>
        <v>90-42774</v>
      </c>
      <c r="B9938" s="15" t="s">
        <v>14517</v>
      </c>
      <c r="C9938" s="32">
        <v>33.75</v>
      </c>
    </row>
    <row r="9939" spans="1:3" x14ac:dyDescent="0.25">
      <c r="A9939" s="12" t="str">
        <f>("90-42775")</f>
        <v>90-42775</v>
      </c>
      <c r="B9939" s="15" t="s">
        <v>14518</v>
      </c>
      <c r="C9939" s="32">
        <v>10</v>
      </c>
    </row>
    <row r="9940" spans="1:3" x14ac:dyDescent="0.25">
      <c r="A9940" s="12" t="str">
        <f>("90-42776")</f>
        <v>90-42776</v>
      </c>
      <c r="B9940" s="15" t="s">
        <v>14519</v>
      </c>
      <c r="C9940" s="32">
        <v>11.25</v>
      </c>
    </row>
    <row r="9941" spans="1:3" x14ac:dyDescent="0.25">
      <c r="A9941" s="12" t="str">
        <f>("90-42777")</f>
        <v>90-42777</v>
      </c>
      <c r="B9941" s="15" t="s">
        <v>14520</v>
      </c>
      <c r="C9941" s="32">
        <v>22.5</v>
      </c>
    </row>
    <row r="9942" spans="1:3" ht="31.5" x14ac:dyDescent="0.25">
      <c r="A9942" s="12" t="str">
        <f>("90-42778")</f>
        <v>90-42778</v>
      </c>
      <c r="B9942" s="15" t="s">
        <v>14521</v>
      </c>
      <c r="C9942" s="32">
        <v>25</v>
      </c>
    </row>
    <row r="9943" spans="1:3" x14ac:dyDescent="0.25">
      <c r="A9943" s="12" t="str">
        <f>("90-42779")</f>
        <v>90-42779</v>
      </c>
      <c r="B9943" s="15" t="s">
        <v>14522</v>
      </c>
      <c r="C9943" s="32">
        <v>37.5</v>
      </c>
    </row>
    <row r="9944" spans="1:3" x14ac:dyDescent="0.25">
      <c r="A9944" s="12" t="str">
        <f>("90-42780")</f>
        <v>90-42780</v>
      </c>
      <c r="B9944" s="15" t="s">
        <v>14523</v>
      </c>
      <c r="C9944" s="32">
        <v>45</v>
      </c>
    </row>
    <row r="9945" spans="1:3" x14ac:dyDescent="0.25">
      <c r="A9945" s="12" t="str">
        <f>("90-42781")</f>
        <v>90-42781</v>
      </c>
      <c r="B9945" s="15" t="s">
        <v>14524</v>
      </c>
      <c r="C9945" s="32">
        <v>10</v>
      </c>
    </row>
    <row r="9946" spans="1:3" x14ac:dyDescent="0.25">
      <c r="A9946" s="12" t="str">
        <f>("90-42782")</f>
        <v>90-42782</v>
      </c>
      <c r="B9946" s="15" t="s">
        <v>14525</v>
      </c>
      <c r="C9946" s="32">
        <v>201.25</v>
      </c>
    </row>
    <row r="9947" spans="1:3" x14ac:dyDescent="0.25">
      <c r="A9947" s="12" t="str">
        <f>("90-42794")</f>
        <v>90-42794</v>
      </c>
      <c r="B9947" s="15" t="s">
        <v>14526</v>
      </c>
      <c r="C9947" s="32">
        <v>7.5</v>
      </c>
    </row>
    <row r="9948" spans="1:3" x14ac:dyDescent="0.25">
      <c r="A9948" s="12" t="str">
        <f>("95095")</f>
        <v>95095</v>
      </c>
      <c r="B9948" s="15"/>
      <c r="C9948" s="32">
        <v>1696.25</v>
      </c>
    </row>
    <row r="9949" spans="1:3" x14ac:dyDescent="0.25">
      <c r="A9949" s="12" t="str">
        <f>("98-10880")</f>
        <v>98-10880</v>
      </c>
      <c r="B9949" s="15" t="s">
        <v>14527</v>
      </c>
      <c r="C9949" s="32">
        <v>106.25</v>
      </c>
    </row>
    <row r="9950" spans="1:3" x14ac:dyDescent="0.25">
      <c r="A9950" s="12" t="str">
        <f>("S100233-01")</f>
        <v>S100233-01</v>
      </c>
      <c r="B9950" s="15" t="s">
        <v>14528</v>
      </c>
      <c r="C9950" s="32">
        <v>166.25</v>
      </c>
    </row>
    <row r="9951" spans="1:3" x14ac:dyDescent="0.25">
      <c r="A9951" s="12" t="str">
        <f>("S100501")</f>
        <v>S100501</v>
      </c>
      <c r="B9951" s="15" t="s">
        <v>14529</v>
      </c>
      <c r="C9951" s="32">
        <v>166.25</v>
      </c>
    </row>
    <row r="9952" spans="1:3" x14ac:dyDescent="0.25">
      <c r="A9952" s="12" t="str">
        <f>("S100507")</f>
        <v>S100507</v>
      </c>
      <c r="B9952" s="15" t="s">
        <v>14530</v>
      </c>
      <c r="C9952" s="32">
        <v>231.25</v>
      </c>
    </row>
    <row r="9953" spans="1:3" x14ac:dyDescent="0.25">
      <c r="A9953" s="12" t="str">
        <f>("S103138-01")</f>
        <v>S103138-01</v>
      </c>
      <c r="B9953" s="15" t="s">
        <v>14531</v>
      </c>
      <c r="C9953" s="32">
        <v>5</v>
      </c>
    </row>
    <row r="9954" spans="1:3" x14ac:dyDescent="0.25">
      <c r="A9954" s="12" t="str">
        <f>("S105650")</f>
        <v>S105650</v>
      </c>
      <c r="B9954" s="15" t="s">
        <v>14532</v>
      </c>
      <c r="C9954" s="32">
        <v>18.75</v>
      </c>
    </row>
    <row r="9955" spans="1:3" x14ac:dyDescent="0.25">
      <c r="A9955" s="12" t="str">
        <f>("S106058")</f>
        <v>S106058</v>
      </c>
      <c r="B9955" s="15" t="s">
        <v>14533</v>
      </c>
      <c r="C9955" s="32">
        <v>36.25</v>
      </c>
    </row>
    <row r="9956" spans="1:3" x14ac:dyDescent="0.25">
      <c r="A9956" s="12" t="str">
        <f>("S106100")</f>
        <v>S106100</v>
      </c>
      <c r="B9956" s="15" t="s">
        <v>14534</v>
      </c>
      <c r="C9956" s="32">
        <v>986.25</v>
      </c>
    </row>
    <row r="9957" spans="1:3" x14ac:dyDescent="0.25">
      <c r="A9957" s="12" t="str">
        <f>("S106102")</f>
        <v>S106102</v>
      </c>
      <c r="B9957" s="15" t="s">
        <v>14535</v>
      </c>
      <c r="C9957" s="32">
        <v>926.25</v>
      </c>
    </row>
    <row r="9958" spans="1:3" x14ac:dyDescent="0.25">
      <c r="A9958" s="12" t="str">
        <f>("S106104")</f>
        <v>S106104</v>
      </c>
      <c r="B9958" s="15" t="s">
        <v>14536</v>
      </c>
      <c r="C9958" s="32">
        <v>907.5</v>
      </c>
    </row>
    <row r="9959" spans="1:3" x14ac:dyDescent="0.25">
      <c r="A9959" s="12" t="str">
        <f>("50-2000")</f>
        <v>50-2000</v>
      </c>
      <c r="B9959" s="15" t="s">
        <v>14537</v>
      </c>
      <c r="C9959" s="32">
        <v>273.75</v>
      </c>
    </row>
    <row r="9960" spans="1:3" x14ac:dyDescent="0.25">
      <c r="A9960" s="12" t="str">
        <f>("50-2010")</f>
        <v>50-2010</v>
      </c>
      <c r="B9960" s="15" t="s">
        <v>14538</v>
      </c>
      <c r="C9960" s="32">
        <v>312.5</v>
      </c>
    </row>
    <row r="9961" spans="1:3" x14ac:dyDescent="0.25">
      <c r="A9961" s="12" t="str">
        <f>("50-2020")</f>
        <v>50-2020</v>
      </c>
      <c r="B9961" s="15" t="s">
        <v>14539</v>
      </c>
      <c r="C9961" s="32">
        <v>312.5</v>
      </c>
    </row>
    <row r="9962" spans="1:3" ht="31.5" x14ac:dyDescent="0.25">
      <c r="A9962" s="12" t="str">
        <f>("50-2030")</f>
        <v>50-2030</v>
      </c>
      <c r="B9962" s="15" t="s">
        <v>14540</v>
      </c>
      <c r="C9962" s="32">
        <v>352.5</v>
      </c>
    </row>
    <row r="9963" spans="1:3" ht="31.5" x14ac:dyDescent="0.25">
      <c r="A9963" s="12" t="str">
        <f>("50-2040")</f>
        <v>50-2040</v>
      </c>
      <c r="B9963" s="15" t="s">
        <v>14541</v>
      </c>
      <c r="C9963" s="32">
        <v>352.5</v>
      </c>
    </row>
    <row r="9964" spans="1:3" x14ac:dyDescent="0.25">
      <c r="A9964" s="12" t="str">
        <f>("50-2050")</f>
        <v>50-2050</v>
      </c>
      <c r="B9964" s="15" t="s">
        <v>14542</v>
      </c>
      <c r="C9964" s="32">
        <v>391.25</v>
      </c>
    </row>
    <row r="9965" spans="1:3" ht="47.25" x14ac:dyDescent="0.25">
      <c r="A9965" s="12" t="str">
        <f>("50-2070")</f>
        <v>50-2070</v>
      </c>
      <c r="B9965" s="15" t="s">
        <v>14543</v>
      </c>
      <c r="C9965" s="32">
        <v>428.75</v>
      </c>
    </row>
    <row r="9966" spans="1:3" x14ac:dyDescent="0.25">
      <c r="A9966" s="12" t="str">
        <f>("50-2785")</f>
        <v>50-2785</v>
      </c>
      <c r="B9966" s="15" t="s">
        <v>14544</v>
      </c>
      <c r="C9966" s="32">
        <v>217.5</v>
      </c>
    </row>
    <row r="9967" spans="1:3" x14ac:dyDescent="0.25">
      <c r="A9967" s="12" t="str">
        <f>("50-6105")</f>
        <v>50-6105</v>
      </c>
      <c r="B9967" s="15" t="s">
        <v>14545</v>
      </c>
      <c r="C9967" s="32">
        <v>217.5</v>
      </c>
    </row>
    <row r="9968" spans="1:3" x14ac:dyDescent="0.25">
      <c r="A9968" s="12" t="str">
        <f>("50-6115")</f>
        <v>50-6115</v>
      </c>
      <c r="B9968" s="15" t="s">
        <v>14546</v>
      </c>
      <c r="C9968" s="32">
        <v>225</v>
      </c>
    </row>
    <row r="9969" spans="1:3" x14ac:dyDescent="0.25">
      <c r="A9969" s="12" t="str">
        <f>("50-6125")</f>
        <v>50-6125</v>
      </c>
      <c r="B9969" s="15" t="s">
        <v>14547</v>
      </c>
      <c r="C9969" s="32">
        <v>225</v>
      </c>
    </row>
    <row r="9970" spans="1:3" x14ac:dyDescent="0.25">
      <c r="A9970" s="12" t="str">
        <f>("50-6135")</f>
        <v>50-6135</v>
      </c>
      <c r="B9970" s="15" t="s">
        <v>14548</v>
      </c>
      <c r="C9970" s="32">
        <v>262.5</v>
      </c>
    </row>
    <row r="9971" spans="1:3" ht="31.5" x14ac:dyDescent="0.25">
      <c r="A9971" s="12" t="str">
        <f>("50-6145")</f>
        <v>50-6145</v>
      </c>
      <c r="B9971" s="15" t="s">
        <v>14549</v>
      </c>
      <c r="C9971" s="32">
        <v>225</v>
      </c>
    </row>
    <row r="9972" spans="1:3" x14ac:dyDescent="0.25">
      <c r="A9972" s="12" t="str">
        <f>("50-6155")</f>
        <v>50-6155</v>
      </c>
      <c r="B9972" s="15" t="s">
        <v>14550</v>
      </c>
      <c r="C9972" s="32">
        <v>217.5</v>
      </c>
    </row>
    <row r="9973" spans="1:3" ht="31.5" x14ac:dyDescent="0.25">
      <c r="A9973" s="12" t="str">
        <f>("50-6165")</f>
        <v>50-6165</v>
      </c>
      <c r="B9973" s="15" t="s">
        <v>14551</v>
      </c>
      <c r="C9973" s="32">
        <v>262.5</v>
      </c>
    </row>
    <row r="9974" spans="1:3" x14ac:dyDescent="0.25">
      <c r="A9974" s="12" t="str">
        <f>("50-6175")</f>
        <v>50-6175</v>
      </c>
      <c r="B9974" s="15" t="s">
        <v>14552</v>
      </c>
      <c r="C9974" s="32">
        <v>225</v>
      </c>
    </row>
    <row r="9975" spans="1:3" x14ac:dyDescent="0.25">
      <c r="A9975" s="12" t="str">
        <f>("50-6195")</f>
        <v>50-6195</v>
      </c>
      <c r="B9975" s="15" t="s">
        <v>14553</v>
      </c>
      <c r="C9975" s="32">
        <v>225</v>
      </c>
    </row>
    <row r="9976" spans="1:3" x14ac:dyDescent="0.25">
      <c r="A9976" s="12" t="str">
        <f>("50-6205")</f>
        <v>50-6205</v>
      </c>
      <c r="B9976" s="15" t="s">
        <v>14554</v>
      </c>
      <c r="C9976" s="32">
        <v>217.5</v>
      </c>
    </row>
    <row r="9977" spans="1:3" x14ac:dyDescent="0.25">
      <c r="A9977" s="12" t="str">
        <f>("50-6215")</f>
        <v>50-6215</v>
      </c>
      <c r="B9977" s="15" t="s">
        <v>14555</v>
      </c>
      <c r="C9977" s="32">
        <v>225</v>
      </c>
    </row>
    <row r="9978" spans="1:3" x14ac:dyDescent="0.25">
      <c r="A9978" s="12" t="str">
        <f>("50-6225")</f>
        <v>50-6225</v>
      </c>
      <c r="B9978" s="15" t="s">
        <v>14556</v>
      </c>
      <c r="C9978" s="32">
        <v>302.5</v>
      </c>
    </row>
    <row r="9979" spans="1:3" x14ac:dyDescent="0.25">
      <c r="A9979" s="12" t="str">
        <f>("50-6235")</f>
        <v>50-6235</v>
      </c>
      <c r="B9979" s="15" t="s">
        <v>14557</v>
      </c>
      <c r="C9979" s="32">
        <v>217.5</v>
      </c>
    </row>
    <row r="9980" spans="1:3" x14ac:dyDescent="0.25">
      <c r="A9980" s="12" t="str">
        <f>("50-6245")</f>
        <v>50-6245</v>
      </c>
      <c r="B9980" s="15" t="s">
        <v>14558</v>
      </c>
      <c r="C9980" s="32">
        <v>302.5</v>
      </c>
    </row>
    <row r="9981" spans="1:3" x14ac:dyDescent="0.25">
      <c r="A9981" s="12" t="str">
        <f>("50-6305")</f>
        <v>50-6305</v>
      </c>
      <c r="B9981" s="15" t="s">
        <v>14559</v>
      </c>
      <c r="C9981" s="32">
        <v>262.5</v>
      </c>
    </row>
    <row r="9982" spans="1:3" x14ac:dyDescent="0.25">
      <c r="A9982" s="12" t="str">
        <f>("50-6315")</f>
        <v>50-6315</v>
      </c>
      <c r="B9982" s="15" t="s">
        <v>14560</v>
      </c>
      <c r="C9982" s="32">
        <v>217.5</v>
      </c>
    </row>
    <row r="9983" spans="1:3" x14ac:dyDescent="0.25">
      <c r="A9983" s="12" t="str">
        <f>("50-6355")</f>
        <v>50-6355</v>
      </c>
      <c r="B9983" s="15" t="s">
        <v>14561</v>
      </c>
      <c r="C9983" s="32">
        <v>217.5</v>
      </c>
    </row>
    <row r="9984" spans="1:3" x14ac:dyDescent="0.25">
      <c r="A9984" s="12" t="str">
        <f>("50-6365")</f>
        <v>50-6365</v>
      </c>
      <c r="B9984" s="15" t="s">
        <v>14562</v>
      </c>
      <c r="C9984" s="32">
        <v>225</v>
      </c>
    </row>
    <row r="9985" spans="1:3" x14ac:dyDescent="0.25">
      <c r="A9985" s="12" t="str">
        <f>("50-6375")</f>
        <v>50-6375</v>
      </c>
      <c r="B9985" s="15" t="s">
        <v>14563</v>
      </c>
      <c r="C9985" s="32">
        <v>262.5</v>
      </c>
    </row>
    <row r="9986" spans="1:3" x14ac:dyDescent="0.25">
      <c r="A9986" s="12" t="str">
        <f>("50-6385")</f>
        <v>50-6385</v>
      </c>
      <c r="B9986" s="15" t="s">
        <v>14564</v>
      </c>
      <c r="C9986" s="32">
        <v>217.5</v>
      </c>
    </row>
    <row r="9987" spans="1:3" x14ac:dyDescent="0.25">
      <c r="A9987" s="12" t="str">
        <f>("50-6395")</f>
        <v>50-6395</v>
      </c>
      <c r="B9987" s="15" t="s">
        <v>14565</v>
      </c>
      <c r="C9987" s="32">
        <v>225</v>
      </c>
    </row>
    <row r="9988" spans="1:3" x14ac:dyDescent="0.25">
      <c r="A9988" s="12" t="str">
        <f>("50-6405")</f>
        <v>50-6405</v>
      </c>
      <c r="B9988" s="15" t="s">
        <v>14566</v>
      </c>
      <c r="C9988" s="32">
        <v>225</v>
      </c>
    </row>
    <row r="9989" spans="1:3" x14ac:dyDescent="0.25">
      <c r="A9989" s="12" t="str">
        <f>("50-6415")</f>
        <v>50-6415</v>
      </c>
      <c r="B9989" s="15" t="s">
        <v>14567</v>
      </c>
      <c r="C9989" s="32">
        <v>262.5</v>
      </c>
    </row>
    <row r="9990" spans="1:3" x14ac:dyDescent="0.25">
      <c r="A9990" s="12" t="str">
        <f>("50-6425")</f>
        <v>50-6425</v>
      </c>
      <c r="B9990" s="15" t="s">
        <v>14568</v>
      </c>
      <c r="C9990" s="32">
        <v>217.5</v>
      </c>
    </row>
    <row r="9991" spans="1:3" x14ac:dyDescent="0.25">
      <c r="A9991" s="12" t="str">
        <f>("50-6435")</f>
        <v>50-6435</v>
      </c>
      <c r="B9991" s="15" t="s">
        <v>14569</v>
      </c>
      <c r="C9991" s="32">
        <v>225</v>
      </c>
    </row>
    <row r="9992" spans="1:3" x14ac:dyDescent="0.25">
      <c r="A9992" s="12" t="str">
        <f>("50-6455")</f>
        <v>50-6455</v>
      </c>
      <c r="B9992" s="15" t="s">
        <v>14570</v>
      </c>
      <c r="C9992" s="32">
        <v>217.5</v>
      </c>
    </row>
    <row r="9993" spans="1:3" x14ac:dyDescent="0.25">
      <c r="A9993" s="12" t="str">
        <f>("50-6465")</f>
        <v>50-6465</v>
      </c>
      <c r="B9993" s="15" t="s">
        <v>14571</v>
      </c>
      <c r="C9993" s="32">
        <v>217.5</v>
      </c>
    </row>
    <row r="9994" spans="1:3" x14ac:dyDescent="0.25">
      <c r="A9994" s="12" t="str">
        <f>("50-6475")</f>
        <v>50-6475</v>
      </c>
      <c r="B9994" s="15" t="s">
        <v>14572</v>
      </c>
      <c r="C9994" s="32">
        <v>225</v>
      </c>
    </row>
    <row r="9995" spans="1:3" x14ac:dyDescent="0.25">
      <c r="A9995" s="12" t="str">
        <f>("50-6485")</f>
        <v>50-6485</v>
      </c>
      <c r="B9995" s="15" t="s">
        <v>14573</v>
      </c>
      <c r="C9995" s="32">
        <v>225</v>
      </c>
    </row>
    <row r="9996" spans="1:3" x14ac:dyDescent="0.25">
      <c r="A9996" s="12" t="str">
        <f>("50-6505")</f>
        <v>50-6505</v>
      </c>
      <c r="B9996" s="15" t="s">
        <v>14574</v>
      </c>
      <c r="C9996" s="32">
        <v>98.75</v>
      </c>
    </row>
    <row r="9997" spans="1:3" x14ac:dyDescent="0.25">
      <c r="A9997" s="12" t="str">
        <f>("50-6515")</f>
        <v>50-6515</v>
      </c>
      <c r="B9997" s="15" t="s">
        <v>14575</v>
      </c>
      <c r="C9997" s="32">
        <v>98.75</v>
      </c>
    </row>
    <row r="9998" spans="1:3" x14ac:dyDescent="0.25">
      <c r="A9998" s="12" t="str">
        <f>("50-6525")</f>
        <v>50-6525</v>
      </c>
      <c r="B9998" s="15" t="s">
        <v>14576</v>
      </c>
      <c r="C9998" s="32">
        <v>98.75</v>
      </c>
    </row>
    <row r="9999" spans="1:3" x14ac:dyDescent="0.25">
      <c r="A9999" s="12" t="str">
        <f>("50-6535")</f>
        <v>50-6535</v>
      </c>
      <c r="B9999" s="15" t="s">
        <v>14159</v>
      </c>
      <c r="C9999" s="32">
        <v>98.75</v>
      </c>
    </row>
    <row r="10000" spans="1:3" x14ac:dyDescent="0.25">
      <c r="A10000" s="12" t="str">
        <f>("50-6545")</f>
        <v>50-6545</v>
      </c>
      <c r="B10000" s="15" t="s">
        <v>14577</v>
      </c>
      <c r="C10000" s="32">
        <v>98.75</v>
      </c>
    </row>
    <row r="10001" spans="1:3" x14ac:dyDescent="0.25">
      <c r="A10001" s="12" t="str">
        <f>("50-6555")</f>
        <v>50-6555</v>
      </c>
      <c r="B10001" s="15" t="s">
        <v>14578</v>
      </c>
      <c r="C10001" s="32">
        <v>98.75</v>
      </c>
    </row>
    <row r="10002" spans="1:3" x14ac:dyDescent="0.25">
      <c r="A10002" s="12" t="str">
        <f>("50-6565")</f>
        <v>50-6565</v>
      </c>
      <c r="B10002" s="15" t="s">
        <v>14579</v>
      </c>
      <c r="C10002" s="32">
        <v>98.75</v>
      </c>
    </row>
    <row r="10003" spans="1:3" x14ac:dyDescent="0.25">
      <c r="A10003" s="12" t="str">
        <f>("51-10005")</f>
        <v>51-10005</v>
      </c>
      <c r="B10003" s="15" t="s">
        <v>13731</v>
      </c>
      <c r="C10003" s="32">
        <v>1210</v>
      </c>
    </row>
    <row r="10004" spans="1:3" x14ac:dyDescent="0.25">
      <c r="A10004" s="12" t="str">
        <f>("51-10015")</f>
        <v>51-10015</v>
      </c>
      <c r="B10004" s="15" t="s">
        <v>14580</v>
      </c>
      <c r="C10004" s="32">
        <v>1210</v>
      </c>
    </row>
    <row r="10005" spans="1:3" x14ac:dyDescent="0.25">
      <c r="A10005" s="12" t="str">
        <f>("51-10025")</f>
        <v>51-10025</v>
      </c>
      <c r="B10005" s="15" t="s">
        <v>14581</v>
      </c>
      <c r="C10005" s="32">
        <v>1258.75</v>
      </c>
    </row>
    <row r="10006" spans="1:3" x14ac:dyDescent="0.25">
      <c r="A10006" s="12" t="str">
        <f>("51-20005")</f>
        <v>51-20005</v>
      </c>
      <c r="B10006" s="15" t="s">
        <v>13731</v>
      </c>
      <c r="C10006" s="32">
        <v>741.25</v>
      </c>
    </row>
    <row r="10007" spans="1:3" x14ac:dyDescent="0.25">
      <c r="A10007" s="12" t="str">
        <f>("51-20015")</f>
        <v>51-20015</v>
      </c>
      <c r="B10007" s="15" t="s">
        <v>14582</v>
      </c>
      <c r="C10007" s="32">
        <v>741.25</v>
      </c>
    </row>
    <row r="10008" spans="1:3" x14ac:dyDescent="0.25">
      <c r="A10008" s="12" t="str">
        <f>("51-30005")</f>
        <v>51-30005</v>
      </c>
      <c r="B10008" s="15" t="s">
        <v>14583</v>
      </c>
      <c r="C10008" s="32">
        <v>468.75</v>
      </c>
    </row>
    <row r="10009" spans="1:3" x14ac:dyDescent="0.25">
      <c r="A10009" s="12" t="str">
        <f>("51-30015")</f>
        <v>51-30015</v>
      </c>
      <c r="B10009" s="15" t="s">
        <v>14584</v>
      </c>
      <c r="C10009" s="32">
        <v>516.25</v>
      </c>
    </row>
    <row r="10010" spans="1:3" x14ac:dyDescent="0.25">
      <c r="A10010" s="12" t="str">
        <f>("56-11315")</f>
        <v>56-11315</v>
      </c>
      <c r="B10010" s="15" t="s">
        <v>13784</v>
      </c>
      <c r="C10010" s="32">
        <v>818.75</v>
      </c>
    </row>
    <row r="10011" spans="1:3" x14ac:dyDescent="0.25">
      <c r="A10011" s="12" t="str">
        <f>("56-11335")</f>
        <v>56-11335</v>
      </c>
      <c r="B10011" s="15" t="s">
        <v>13710</v>
      </c>
      <c r="C10011" s="32">
        <v>818.75</v>
      </c>
    </row>
    <row r="10012" spans="1:3" x14ac:dyDescent="0.25">
      <c r="A10012" s="12" t="str">
        <f>("56-11685")</f>
        <v>56-11685</v>
      </c>
      <c r="B10012" s="15" t="s">
        <v>13711</v>
      </c>
      <c r="C10012" s="32">
        <v>818.75</v>
      </c>
    </row>
    <row r="10013" spans="1:3" x14ac:dyDescent="0.25">
      <c r="A10013" s="12" t="str">
        <f>("56-11955")</f>
        <v>56-11955</v>
      </c>
      <c r="B10013" s="15" t="s">
        <v>13712</v>
      </c>
      <c r="C10013" s="32">
        <v>818.75</v>
      </c>
    </row>
    <row r="10014" spans="1:3" x14ac:dyDescent="0.25">
      <c r="A10014" s="12" t="str">
        <f>("56-12675")</f>
        <v>56-12675</v>
      </c>
      <c r="B10014" s="15" t="s">
        <v>13788</v>
      </c>
      <c r="C10014" s="32">
        <v>818.75</v>
      </c>
    </row>
    <row r="10015" spans="1:3" x14ac:dyDescent="0.25">
      <c r="A10015" s="12" t="str">
        <f>("56-12775")</f>
        <v>56-12775</v>
      </c>
      <c r="B10015" s="15" t="s">
        <v>13713</v>
      </c>
      <c r="C10015" s="32">
        <v>818.75</v>
      </c>
    </row>
    <row r="10016" spans="1:3" x14ac:dyDescent="0.25">
      <c r="A10016" s="12" t="str">
        <f>("56-12785")</f>
        <v>56-12785</v>
      </c>
      <c r="B10016" s="15" t="s">
        <v>13714</v>
      </c>
      <c r="C10016" s="32">
        <v>817.5</v>
      </c>
    </row>
    <row r="10017" spans="1:3" x14ac:dyDescent="0.25">
      <c r="A10017" s="12" t="str">
        <f>("56-12795")</f>
        <v>56-12795</v>
      </c>
      <c r="B10017" s="15" t="s">
        <v>14585</v>
      </c>
      <c r="C10017" s="32">
        <v>820</v>
      </c>
    </row>
    <row r="10018" spans="1:3" x14ac:dyDescent="0.25">
      <c r="A10018" s="12" t="str">
        <f>("56-13245")</f>
        <v>56-13245</v>
      </c>
      <c r="B10018" s="15" t="s">
        <v>13715</v>
      </c>
      <c r="C10018" s="32">
        <v>818.75</v>
      </c>
    </row>
    <row r="10019" spans="1:3" x14ac:dyDescent="0.25">
      <c r="A10019" s="12" t="str">
        <f>("56-13255")</f>
        <v>56-13255</v>
      </c>
      <c r="B10019" s="15" t="s">
        <v>13716</v>
      </c>
      <c r="C10019" s="32">
        <v>818.75</v>
      </c>
    </row>
    <row r="10020" spans="1:3" x14ac:dyDescent="0.25">
      <c r="A10020" s="12" t="str">
        <f>("56-13295")</f>
        <v>56-13295</v>
      </c>
      <c r="B10020" s="15" t="s">
        <v>13717</v>
      </c>
      <c r="C10020" s="32">
        <v>818.75</v>
      </c>
    </row>
    <row r="10021" spans="1:3" x14ac:dyDescent="0.25">
      <c r="A10021" s="12" t="str">
        <f>("56-13315")</f>
        <v>56-13315</v>
      </c>
      <c r="B10021" s="15" t="s">
        <v>14224</v>
      </c>
      <c r="C10021" s="32">
        <v>696.25</v>
      </c>
    </row>
    <row r="10022" spans="1:3" x14ac:dyDescent="0.25">
      <c r="A10022" s="12" t="str">
        <f>("56-13525")</f>
        <v>56-13525</v>
      </c>
      <c r="B10022" s="15" t="s">
        <v>13770</v>
      </c>
      <c r="C10022" s="32">
        <v>818.75</v>
      </c>
    </row>
    <row r="10023" spans="1:3" x14ac:dyDescent="0.25">
      <c r="A10023" s="12" t="str">
        <f>("56-13555")</f>
        <v>56-13555</v>
      </c>
      <c r="B10023" s="15" t="s">
        <v>13718</v>
      </c>
      <c r="C10023" s="32">
        <v>818.75</v>
      </c>
    </row>
    <row r="10024" spans="1:3" ht="31.5" x14ac:dyDescent="0.25">
      <c r="A10024" s="12" t="str">
        <f>("56-13565")</f>
        <v>56-13565</v>
      </c>
      <c r="B10024" s="15" t="s">
        <v>13719</v>
      </c>
      <c r="C10024" s="32">
        <v>818.75</v>
      </c>
    </row>
    <row r="10025" spans="1:3" ht="31.5" x14ac:dyDescent="0.25">
      <c r="A10025" s="12" t="str">
        <f>("56-13715")</f>
        <v>56-13715</v>
      </c>
      <c r="B10025" s="15" t="s">
        <v>14103</v>
      </c>
      <c r="C10025" s="32">
        <v>818.75</v>
      </c>
    </row>
    <row r="10026" spans="1:3" x14ac:dyDescent="0.25">
      <c r="A10026" s="12" t="str">
        <f>("56-13725")</f>
        <v>56-13725</v>
      </c>
      <c r="B10026" s="15" t="s">
        <v>14586</v>
      </c>
      <c r="C10026" s="32">
        <v>818.75</v>
      </c>
    </row>
    <row r="10027" spans="1:3" ht="31.5" x14ac:dyDescent="0.25">
      <c r="A10027" s="12" t="str">
        <f>("56-13835")</f>
        <v>56-13835</v>
      </c>
      <c r="B10027" s="15" t="s">
        <v>13722</v>
      </c>
      <c r="C10027" s="32">
        <v>818.75</v>
      </c>
    </row>
    <row r="10028" spans="1:3" x14ac:dyDescent="0.25">
      <c r="A10028" s="12" t="str">
        <f>("56-13935")</f>
        <v>56-13935</v>
      </c>
      <c r="B10028" s="15" t="s">
        <v>13723</v>
      </c>
      <c r="C10028" s="32">
        <v>818.75</v>
      </c>
    </row>
    <row r="10029" spans="1:3" x14ac:dyDescent="0.25">
      <c r="A10029" s="12" t="str">
        <f>("56-13945")</f>
        <v>56-13945</v>
      </c>
      <c r="B10029" s="15" t="s">
        <v>13724</v>
      </c>
      <c r="C10029" s="32">
        <v>818.75</v>
      </c>
    </row>
    <row r="10030" spans="1:3" x14ac:dyDescent="0.25">
      <c r="A10030" s="12" t="str">
        <f>("56-14005")</f>
        <v>56-14005</v>
      </c>
      <c r="B10030" s="15" t="s">
        <v>13798</v>
      </c>
      <c r="C10030" s="32">
        <v>818.75</v>
      </c>
    </row>
    <row r="10031" spans="1:3" x14ac:dyDescent="0.25">
      <c r="A10031" s="12" t="str">
        <f>("56-14015")</f>
        <v>56-14015</v>
      </c>
      <c r="B10031" s="15" t="s">
        <v>13725</v>
      </c>
      <c r="C10031" s="32">
        <v>818.75</v>
      </c>
    </row>
    <row r="10032" spans="1:3" x14ac:dyDescent="0.25">
      <c r="A10032" s="12" t="str">
        <f>("56-14025")</f>
        <v>56-14025</v>
      </c>
      <c r="B10032" s="15" t="s">
        <v>14587</v>
      </c>
      <c r="C10032" s="32">
        <v>818.75</v>
      </c>
    </row>
    <row r="10033" spans="1:3" x14ac:dyDescent="0.25">
      <c r="A10033" s="12" t="str">
        <f>("56-14055")</f>
        <v>56-14055</v>
      </c>
      <c r="B10033" s="15" t="s">
        <v>14588</v>
      </c>
      <c r="C10033" s="32">
        <v>696.25</v>
      </c>
    </row>
    <row r="10034" spans="1:3" x14ac:dyDescent="0.25">
      <c r="A10034" s="12" t="str">
        <f>("56-14065")</f>
        <v>56-14065</v>
      </c>
      <c r="B10034" s="15" t="s">
        <v>13726</v>
      </c>
      <c r="C10034" s="32">
        <v>818.75</v>
      </c>
    </row>
    <row r="10035" spans="1:3" x14ac:dyDescent="0.25">
      <c r="A10035" s="12" t="str">
        <f>("56-14085")</f>
        <v>56-14085</v>
      </c>
      <c r="B10035" s="15" t="s">
        <v>13727</v>
      </c>
      <c r="C10035" s="32">
        <v>818.75</v>
      </c>
    </row>
    <row r="10036" spans="1:3" x14ac:dyDescent="0.25">
      <c r="A10036" s="12" t="str">
        <f>("56-14095")</f>
        <v>56-14095</v>
      </c>
      <c r="B10036" s="15" t="s">
        <v>13728</v>
      </c>
      <c r="C10036" s="32">
        <v>818.75</v>
      </c>
    </row>
    <row r="10037" spans="1:3" x14ac:dyDescent="0.25">
      <c r="A10037" s="12" t="str">
        <f>("56-14115")</f>
        <v>56-14115</v>
      </c>
      <c r="B10037" s="15" t="s">
        <v>13801</v>
      </c>
      <c r="C10037" s="32">
        <v>818.75</v>
      </c>
    </row>
    <row r="10038" spans="1:3" ht="31.5" x14ac:dyDescent="0.25">
      <c r="A10038" s="12" t="str">
        <f>("56-14125")</f>
        <v>56-14125</v>
      </c>
      <c r="B10038" s="15" t="s">
        <v>13729</v>
      </c>
      <c r="C10038" s="32">
        <v>818.75</v>
      </c>
    </row>
    <row r="10039" spans="1:3" ht="31.5" x14ac:dyDescent="0.25">
      <c r="A10039" s="12" t="str">
        <f>("56-14135")</f>
        <v>56-14135</v>
      </c>
      <c r="B10039" s="15" t="s">
        <v>13730</v>
      </c>
      <c r="C10039" s="32">
        <v>818.75</v>
      </c>
    </row>
    <row r="10040" spans="1:3" x14ac:dyDescent="0.25">
      <c r="A10040" s="12" t="str">
        <f>("56-14145")</f>
        <v>56-14145</v>
      </c>
      <c r="B10040" s="15" t="s">
        <v>13802</v>
      </c>
      <c r="C10040" s="32">
        <v>818.75</v>
      </c>
    </row>
    <row r="10041" spans="1:3" x14ac:dyDescent="0.25">
      <c r="A10041" s="12" t="str">
        <f>("56-14155")</f>
        <v>56-14155</v>
      </c>
      <c r="B10041" s="15" t="s">
        <v>13803</v>
      </c>
      <c r="C10041" s="32">
        <v>818.75</v>
      </c>
    </row>
    <row r="10042" spans="1:3" x14ac:dyDescent="0.25">
      <c r="A10042" s="12" t="str">
        <f>("56-14165")</f>
        <v>56-14165</v>
      </c>
      <c r="B10042" s="15" t="s">
        <v>13731</v>
      </c>
      <c r="C10042" s="32">
        <v>818.75</v>
      </c>
    </row>
    <row r="10043" spans="1:3" x14ac:dyDescent="0.25">
      <c r="A10043" s="12" t="str">
        <f>("56-14185")</f>
        <v>56-14185</v>
      </c>
      <c r="B10043" s="15" t="s">
        <v>13732</v>
      </c>
      <c r="C10043" s="32">
        <v>696.25</v>
      </c>
    </row>
    <row r="10044" spans="1:3" x14ac:dyDescent="0.25">
      <c r="A10044" s="12" t="str">
        <f>("56-14195")</f>
        <v>56-14195</v>
      </c>
      <c r="B10044" s="15" t="s">
        <v>13733</v>
      </c>
      <c r="C10044" s="32">
        <v>818.75</v>
      </c>
    </row>
    <row r="10045" spans="1:3" x14ac:dyDescent="0.25">
      <c r="A10045" s="12" t="str">
        <f>("56-14215")</f>
        <v>56-14215</v>
      </c>
      <c r="B10045" s="15" t="s">
        <v>13805</v>
      </c>
      <c r="C10045" s="32">
        <v>818.75</v>
      </c>
    </row>
    <row r="10046" spans="1:3" x14ac:dyDescent="0.25">
      <c r="A10046" s="12" t="str">
        <f>("56-14225")</f>
        <v>56-14225</v>
      </c>
      <c r="B10046" s="15" t="s">
        <v>13734</v>
      </c>
      <c r="C10046" s="32">
        <v>818.75</v>
      </c>
    </row>
    <row r="10047" spans="1:3" x14ac:dyDescent="0.25">
      <c r="A10047" s="12" t="str">
        <f>("56-14235")</f>
        <v>56-14235</v>
      </c>
      <c r="B10047" s="15" t="s">
        <v>13735</v>
      </c>
      <c r="C10047" s="32">
        <v>818.75</v>
      </c>
    </row>
    <row r="10048" spans="1:3" x14ac:dyDescent="0.25">
      <c r="A10048" s="12" t="str">
        <f>("56-113152")</f>
        <v>56-113152</v>
      </c>
      <c r="B10048" s="15" t="s">
        <v>13784</v>
      </c>
      <c r="C10048" s="32">
        <v>1115</v>
      </c>
    </row>
    <row r="10049" spans="1:3" x14ac:dyDescent="0.25">
      <c r="A10049" s="12" t="str">
        <f>("56-113352")</f>
        <v>56-113352</v>
      </c>
      <c r="B10049" s="15" t="s">
        <v>13710</v>
      </c>
      <c r="C10049" s="32">
        <v>1115</v>
      </c>
    </row>
    <row r="10050" spans="1:3" x14ac:dyDescent="0.25">
      <c r="A10050" s="12" t="str">
        <f>("56-116852")</f>
        <v>56-116852</v>
      </c>
      <c r="B10050" s="15" t="s">
        <v>13711</v>
      </c>
      <c r="C10050" s="32">
        <v>1115</v>
      </c>
    </row>
    <row r="10051" spans="1:3" x14ac:dyDescent="0.25">
      <c r="A10051" s="12" t="str">
        <f>("56-119552")</f>
        <v>56-119552</v>
      </c>
      <c r="B10051" s="15" t="s">
        <v>13712</v>
      </c>
      <c r="C10051" s="32">
        <v>1115</v>
      </c>
    </row>
    <row r="10052" spans="1:3" x14ac:dyDescent="0.25">
      <c r="A10052" s="12" t="str">
        <f>("56-127752")</f>
        <v>56-127752</v>
      </c>
      <c r="B10052" s="15" t="s">
        <v>13713</v>
      </c>
      <c r="C10052" s="32">
        <v>1115</v>
      </c>
    </row>
    <row r="10053" spans="1:3" x14ac:dyDescent="0.25">
      <c r="A10053" s="12" t="str">
        <f>("56-127852")</f>
        <v>56-127852</v>
      </c>
      <c r="B10053" s="15" t="s">
        <v>13714</v>
      </c>
      <c r="C10053" s="32">
        <v>1113.75</v>
      </c>
    </row>
    <row r="10054" spans="1:3" x14ac:dyDescent="0.25">
      <c r="A10054" s="12" t="str">
        <f>("56-132452")</f>
        <v>56-132452</v>
      </c>
      <c r="B10054" s="15" t="s">
        <v>13715</v>
      </c>
      <c r="C10054" s="32">
        <v>1115</v>
      </c>
    </row>
    <row r="10055" spans="1:3" x14ac:dyDescent="0.25">
      <c r="A10055" s="12" t="str">
        <f>("56-132552")</f>
        <v>56-132552</v>
      </c>
      <c r="B10055" s="15" t="s">
        <v>13716</v>
      </c>
      <c r="C10055" s="32">
        <v>1115</v>
      </c>
    </row>
    <row r="10056" spans="1:3" x14ac:dyDescent="0.25">
      <c r="A10056" s="12" t="str">
        <f>("56-132952")</f>
        <v>56-132952</v>
      </c>
      <c r="B10056" s="15" t="s">
        <v>13717</v>
      </c>
      <c r="C10056" s="32">
        <v>1115</v>
      </c>
    </row>
    <row r="10057" spans="1:3" x14ac:dyDescent="0.25">
      <c r="A10057" s="12" t="str">
        <f>("56-133152")</f>
        <v>56-133152</v>
      </c>
      <c r="B10057" s="15" t="s">
        <v>14224</v>
      </c>
      <c r="C10057" s="32">
        <v>925</v>
      </c>
    </row>
    <row r="10058" spans="1:3" x14ac:dyDescent="0.25">
      <c r="A10058" s="12" t="str">
        <f>("56-135252")</f>
        <v>56-135252</v>
      </c>
      <c r="B10058" s="15" t="s">
        <v>13770</v>
      </c>
      <c r="C10058" s="32">
        <v>1115</v>
      </c>
    </row>
    <row r="10059" spans="1:3" x14ac:dyDescent="0.25">
      <c r="A10059" s="12" t="str">
        <f>("56-135552")</f>
        <v>56-135552</v>
      </c>
      <c r="B10059" s="15" t="s">
        <v>13718</v>
      </c>
      <c r="C10059" s="32">
        <v>1115</v>
      </c>
    </row>
    <row r="10060" spans="1:3" ht="31.5" x14ac:dyDescent="0.25">
      <c r="A10060" s="12" t="str">
        <f>("56-135652")</f>
        <v>56-135652</v>
      </c>
      <c r="B10060" s="15" t="s">
        <v>13719</v>
      </c>
      <c r="C10060" s="32">
        <v>1115</v>
      </c>
    </row>
    <row r="10061" spans="1:3" ht="31.5" x14ac:dyDescent="0.25">
      <c r="A10061" s="12" t="str">
        <f>("56-137152")</f>
        <v>56-137152</v>
      </c>
      <c r="B10061" s="15" t="s">
        <v>14103</v>
      </c>
      <c r="C10061" s="32">
        <v>1115</v>
      </c>
    </row>
    <row r="10062" spans="1:3" x14ac:dyDescent="0.25">
      <c r="A10062" s="12" t="str">
        <f>("56-137252")</f>
        <v>56-137252</v>
      </c>
      <c r="B10062" s="15" t="s">
        <v>14589</v>
      </c>
      <c r="C10062" s="32">
        <v>1115</v>
      </c>
    </row>
    <row r="10063" spans="1:3" ht="31.5" x14ac:dyDescent="0.25">
      <c r="A10063" s="12" t="str">
        <f>("56-138352")</f>
        <v>56-138352</v>
      </c>
      <c r="B10063" s="15" t="s">
        <v>13722</v>
      </c>
      <c r="C10063" s="32">
        <v>1115</v>
      </c>
    </row>
    <row r="10064" spans="1:3" x14ac:dyDescent="0.25">
      <c r="A10064" s="12" t="str">
        <f>("56-139352")</f>
        <v>56-139352</v>
      </c>
      <c r="B10064" s="15" t="s">
        <v>13723</v>
      </c>
      <c r="C10064" s="32">
        <v>1115</v>
      </c>
    </row>
    <row r="10065" spans="1:3" x14ac:dyDescent="0.25">
      <c r="A10065" s="12" t="str">
        <f>("56-139452")</f>
        <v>56-139452</v>
      </c>
      <c r="B10065" s="15" t="s">
        <v>13724</v>
      </c>
      <c r="C10065" s="32">
        <v>1115</v>
      </c>
    </row>
    <row r="10066" spans="1:3" x14ac:dyDescent="0.25">
      <c r="A10066" s="12" t="str">
        <f>("56-140052")</f>
        <v>56-140052</v>
      </c>
      <c r="B10066" s="15" t="s">
        <v>13798</v>
      </c>
      <c r="C10066" s="32">
        <v>1115</v>
      </c>
    </row>
    <row r="10067" spans="1:3" x14ac:dyDescent="0.25">
      <c r="A10067" s="12" t="str">
        <f>("56-140152")</f>
        <v>56-140152</v>
      </c>
      <c r="B10067" s="15" t="s">
        <v>13725</v>
      </c>
      <c r="C10067" s="32">
        <v>1115</v>
      </c>
    </row>
    <row r="10068" spans="1:3" x14ac:dyDescent="0.25">
      <c r="A10068" s="12" t="str">
        <f>("56-140252")</f>
        <v>56-140252</v>
      </c>
      <c r="B10068" s="15" t="s">
        <v>14587</v>
      </c>
      <c r="C10068" s="32">
        <v>1115</v>
      </c>
    </row>
    <row r="10069" spans="1:3" x14ac:dyDescent="0.25">
      <c r="A10069" s="12" t="str">
        <f>("56-140552")</f>
        <v>56-140552</v>
      </c>
      <c r="B10069" s="15" t="s">
        <v>14588</v>
      </c>
      <c r="C10069" s="32">
        <v>925</v>
      </c>
    </row>
    <row r="10070" spans="1:3" x14ac:dyDescent="0.25">
      <c r="A10070" s="12" t="str">
        <f>("56-140652")</f>
        <v>56-140652</v>
      </c>
      <c r="B10070" s="15" t="s">
        <v>13726</v>
      </c>
      <c r="C10070" s="32">
        <v>1115</v>
      </c>
    </row>
    <row r="10071" spans="1:3" x14ac:dyDescent="0.25">
      <c r="A10071" s="12" t="str">
        <f>("56-140852")</f>
        <v>56-140852</v>
      </c>
      <c r="B10071" s="15" t="s">
        <v>13727</v>
      </c>
      <c r="C10071" s="32">
        <v>1115</v>
      </c>
    </row>
    <row r="10072" spans="1:3" x14ac:dyDescent="0.25">
      <c r="A10072" s="12" t="str">
        <f>("56-140952")</f>
        <v>56-140952</v>
      </c>
      <c r="B10072" s="15" t="s">
        <v>13728</v>
      </c>
      <c r="C10072" s="32">
        <v>1115</v>
      </c>
    </row>
    <row r="10073" spans="1:3" ht="31.5" x14ac:dyDescent="0.25">
      <c r="A10073" s="12" t="str">
        <f>("56-141252")</f>
        <v>56-141252</v>
      </c>
      <c r="B10073" s="15" t="s">
        <v>13729</v>
      </c>
      <c r="C10073" s="32">
        <v>1115</v>
      </c>
    </row>
    <row r="10074" spans="1:3" ht="31.5" x14ac:dyDescent="0.25">
      <c r="A10074" s="12" t="str">
        <f>("56-141352")</f>
        <v>56-141352</v>
      </c>
      <c r="B10074" s="15" t="s">
        <v>13730</v>
      </c>
      <c r="C10074" s="32">
        <v>1115</v>
      </c>
    </row>
    <row r="10075" spans="1:3" x14ac:dyDescent="0.25">
      <c r="A10075" s="12" t="str">
        <f>("56-141452")</f>
        <v>56-141452</v>
      </c>
      <c r="B10075" s="15" t="s">
        <v>13802</v>
      </c>
      <c r="C10075" s="32">
        <v>1115</v>
      </c>
    </row>
    <row r="10076" spans="1:3" x14ac:dyDescent="0.25">
      <c r="A10076" s="12" t="str">
        <f>("56-141552")</f>
        <v>56-141552</v>
      </c>
      <c r="B10076" s="15" t="s">
        <v>13803</v>
      </c>
      <c r="C10076" s="32">
        <v>1115</v>
      </c>
    </row>
    <row r="10077" spans="1:3" x14ac:dyDescent="0.25">
      <c r="A10077" s="12" t="str">
        <f>("56-141652")</f>
        <v>56-141652</v>
      </c>
      <c r="B10077" s="15" t="s">
        <v>13731</v>
      </c>
      <c r="C10077" s="32">
        <v>1115</v>
      </c>
    </row>
    <row r="10078" spans="1:3" x14ac:dyDescent="0.25">
      <c r="A10078" s="12" t="str">
        <f>("56-141952")</f>
        <v>56-141952</v>
      </c>
      <c r="B10078" s="15" t="s">
        <v>13733</v>
      </c>
      <c r="C10078" s="32">
        <v>1115</v>
      </c>
    </row>
    <row r="10079" spans="1:3" x14ac:dyDescent="0.25">
      <c r="A10079" s="12" t="str">
        <f>("56-142152")</f>
        <v>56-142152</v>
      </c>
      <c r="B10079" s="15" t="s">
        <v>13805</v>
      </c>
      <c r="C10079" s="32">
        <v>1115</v>
      </c>
    </row>
    <row r="10080" spans="1:3" x14ac:dyDescent="0.25">
      <c r="A10080" s="12" t="str">
        <f>("56-142252")</f>
        <v>56-142252</v>
      </c>
      <c r="B10080" s="15" t="s">
        <v>13734</v>
      </c>
      <c r="C10080" s="32">
        <v>1115</v>
      </c>
    </row>
    <row r="10081" spans="1:3" x14ac:dyDescent="0.25">
      <c r="A10081" s="12" t="str">
        <f>("56-142352")</f>
        <v>56-142352</v>
      </c>
      <c r="B10081" s="15" t="s">
        <v>13735</v>
      </c>
      <c r="C10081" s="32">
        <v>1115</v>
      </c>
    </row>
    <row r="10082" spans="1:3" x14ac:dyDescent="0.25">
      <c r="A10082" s="12" t="str">
        <f>("56-21315")</f>
        <v>56-21315</v>
      </c>
      <c r="B10082" s="15" t="s">
        <v>13784</v>
      </c>
      <c r="C10082" s="32">
        <v>880</v>
      </c>
    </row>
    <row r="10083" spans="1:3" x14ac:dyDescent="0.25">
      <c r="A10083" s="12" t="str">
        <f>("56-21335")</f>
        <v>56-21335</v>
      </c>
      <c r="B10083" s="15" t="s">
        <v>13710</v>
      </c>
      <c r="C10083" s="32">
        <v>880</v>
      </c>
    </row>
    <row r="10084" spans="1:3" x14ac:dyDescent="0.25">
      <c r="A10084" s="12" t="str">
        <f>("56-22775")</f>
        <v>56-22775</v>
      </c>
      <c r="B10084" s="15" t="s">
        <v>13713</v>
      </c>
      <c r="C10084" s="32">
        <v>880</v>
      </c>
    </row>
    <row r="10085" spans="1:3" x14ac:dyDescent="0.25">
      <c r="A10085" s="12" t="str">
        <f>("56-22785")</f>
        <v>56-22785</v>
      </c>
      <c r="B10085" s="15" t="s">
        <v>13714</v>
      </c>
      <c r="C10085" s="32">
        <v>880</v>
      </c>
    </row>
    <row r="10086" spans="1:3" x14ac:dyDescent="0.25">
      <c r="A10086" s="12" t="str">
        <f>("56-23255")</f>
        <v>56-23255</v>
      </c>
      <c r="B10086" s="15" t="s">
        <v>13716</v>
      </c>
      <c r="C10086" s="32">
        <v>880</v>
      </c>
    </row>
    <row r="10087" spans="1:3" x14ac:dyDescent="0.25">
      <c r="A10087" s="12" t="str">
        <f>("56-23295")</f>
        <v>56-23295</v>
      </c>
      <c r="B10087" s="15" t="s">
        <v>13932</v>
      </c>
      <c r="C10087" s="32">
        <v>880</v>
      </c>
    </row>
    <row r="10088" spans="1:3" x14ac:dyDescent="0.25">
      <c r="A10088" s="12" t="str">
        <f>("56-23315")</f>
        <v>56-23315</v>
      </c>
      <c r="B10088" s="15" t="s">
        <v>14224</v>
      </c>
      <c r="C10088" s="32">
        <v>736.25</v>
      </c>
    </row>
    <row r="10089" spans="1:3" x14ac:dyDescent="0.25">
      <c r="A10089" s="12" t="str">
        <f>("56-23525")</f>
        <v>56-23525</v>
      </c>
      <c r="B10089" s="15" t="s">
        <v>13770</v>
      </c>
      <c r="C10089" s="32">
        <v>880</v>
      </c>
    </row>
    <row r="10090" spans="1:3" x14ac:dyDescent="0.25">
      <c r="A10090" s="12" t="str">
        <f>("56-23555")</f>
        <v>56-23555</v>
      </c>
      <c r="B10090" s="15" t="s">
        <v>13718</v>
      </c>
      <c r="C10090" s="32">
        <v>880</v>
      </c>
    </row>
    <row r="10091" spans="1:3" ht="31.5" x14ac:dyDescent="0.25">
      <c r="A10091" s="12" t="str">
        <f>("56-23565")</f>
        <v>56-23565</v>
      </c>
      <c r="B10091" s="15" t="s">
        <v>13719</v>
      </c>
      <c r="C10091" s="32">
        <v>880</v>
      </c>
    </row>
    <row r="10092" spans="1:3" ht="31.5" x14ac:dyDescent="0.25">
      <c r="A10092" s="12" t="str">
        <f>("56-23715")</f>
        <v>56-23715</v>
      </c>
      <c r="B10092" s="15" t="s">
        <v>14103</v>
      </c>
      <c r="C10092" s="32">
        <v>880</v>
      </c>
    </row>
    <row r="10093" spans="1:3" x14ac:dyDescent="0.25">
      <c r="A10093" s="12" t="str">
        <f>("56-23725")</f>
        <v>56-23725</v>
      </c>
      <c r="B10093" s="15" t="s">
        <v>14590</v>
      </c>
      <c r="C10093" s="32">
        <v>880</v>
      </c>
    </row>
    <row r="10094" spans="1:3" x14ac:dyDescent="0.25">
      <c r="A10094" s="12" t="str">
        <f>("56-23935")</f>
        <v>56-23935</v>
      </c>
      <c r="B10094" s="15" t="s">
        <v>13723</v>
      </c>
      <c r="C10094" s="32">
        <v>880</v>
      </c>
    </row>
    <row r="10095" spans="1:3" x14ac:dyDescent="0.25">
      <c r="A10095" s="12" t="str">
        <f>("56-23945")</f>
        <v>56-23945</v>
      </c>
      <c r="B10095" s="15" t="s">
        <v>13724</v>
      </c>
      <c r="C10095" s="32">
        <v>880</v>
      </c>
    </row>
    <row r="10096" spans="1:3" x14ac:dyDescent="0.25">
      <c r="A10096" s="12" t="str">
        <f>("56-24005")</f>
        <v>56-24005</v>
      </c>
      <c r="B10096" s="15" t="s">
        <v>13798</v>
      </c>
      <c r="C10096" s="32">
        <v>880</v>
      </c>
    </row>
    <row r="10097" spans="1:3" x14ac:dyDescent="0.25">
      <c r="A10097" s="12" t="str">
        <f>("56-24015")</f>
        <v>56-24015</v>
      </c>
      <c r="B10097" s="15" t="s">
        <v>13725</v>
      </c>
      <c r="C10097" s="32">
        <v>880</v>
      </c>
    </row>
    <row r="10098" spans="1:3" x14ac:dyDescent="0.25">
      <c r="A10098" s="12" t="str">
        <f>("56-24025")</f>
        <v>56-24025</v>
      </c>
      <c r="B10098" s="15" t="s">
        <v>14587</v>
      </c>
      <c r="C10098" s="32">
        <v>880</v>
      </c>
    </row>
    <row r="10099" spans="1:3" x14ac:dyDescent="0.25">
      <c r="A10099" s="12" t="str">
        <f>("56-24055")</f>
        <v>56-24055</v>
      </c>
      <c r="B10099" s="15" t="s">
        <v>14588</v>
      </c>
      <c r="C10099" s="32">
        <v>736.25</v>
      </c>
    </row>
    <row r="10100" spans="1:3" x14ac:dyDescent="0.25">
      <c r="A10100" s="12" t="str">
        <f>("56-24075")</f>
        <v>56-24075</v>
      </c>
      <c r="B10100" s="15" t="s">
        <v>13726</v>
      </c>
      <c r="C10100" s="32">
        <v>880</v>
      </c>
    </row>
    <row r="10101" spans="1:3" x14ac:dyDescent="0.25">
      <c r="A10101" s="12" t="str">
        <f>("56-24085")</f>
        <v>56-24085</v>
      </c>
      <c r="B10101" s="15" t="s">
        <v>13727</v>
      </c>
      <c r="C10101" s="32">
        <v>880</v>
      </c>
    </row>
    <row r="10102" spans="1:3" x14ac:dyDescent="0.25">
      <c r="A10102" s="12" t="str">
        <f>("56-24095")</f>
        <v>56-24095</v>
      </c>
      <c r="B10102" s="15" t="s">
        <v>13728</v>
      </c>
      <c r="C10102" s="32">
        <v>880</v>
      </c>
    </row>
    <row r="10103" spans="1:3" ht="31.5" x14ac:dyDescent="0.25">
      <c r="A10103" s="12" t="str">
        <f>("56-24125")</f>
        <v>56-24125</v>
      </c>
      <c r="B10103" s="15" t="s">
        <v>13729</v>
      </c>
      <c r="C10103" s="32">
        <v>880</v>
      </c>
    </row>
    <row r="10104" spans="1:3" ht="31.5" x14ac:dyDescent="0.25">
      <c r="A10104" s="12" t="str">
        <f>("56-24135")</f>
        <v>56-24135</v>
      </c>
      <c r="B10104" s="15" t="s">
        <v>13730</v>
      </c>
      <c r="C10104" s="32">
        <v>880</v>
      </c>
    </row>
    <row r="10105" spans="1:3" x14ac:dyDescent="0.25">
      <c r="A10105" s="12" t="str">
        <f>("56-24145")</f>
        <v>56-24145</v>
      </c>
      <c r="B10105" s="15" t="s">
        <v>13802</v>
      </c>
      <c r="C10105" s="32">
        <v>880</v>
      </c>
    </row>
    <row r="10106" spans="1:3" x14ac:dyDescent="0.25">
      <c r="A10106" s="12" t="str">
        <f>("56-24155")</f>
        <v>56-24155</v>
      </c>
      <c r="B10106" s="15" t="s">
        <v>13803</v>
      </c>
      <c r="C10106" s="32">
        <v>880</v>
      </c>
    </row>
    <row r="10107" spans="1:3" x14ac:dyDescent="0.25">
      <c r="A10107" s="12" t="str">
        <f>("56-24165")</f>
        <v>56-24165</v>
      </c>
      <c r="B10107" s="15" t="s">
        <v>13731</v>
      </c>
      <c r="C10107" s="32">
        <v>880</v>
      </c>
    </row>
    <row r="10108" spans="1:3" x14ac:dyDescent="0.25">
      <c r="A10108" s="12" t="str">
        <f>("56-26095")</f>
        <v>56-26095</v>
      </c>
      <c r="B10108" s="15" t="s">
        <v>14591</v>
      </c>
      <c r="C10108" s="32">
        <v>1436.25</v>
      </c>
    </row>
    <row r="10109" spans="1:3" x14ac:dyDescent="0.25">
      <c r="A10109" s="12" t="str">
        <f>("56-534015")</f>
        <v>56-534015</v>
      </c>
      <c r="B10109" s="15" t="s">
        <v>13808</v>
      </c>
      <c r="C10109" s="32">
        <v>1286.25</v>
      </c>
    </row>
    <row r="10110" spans="1:3" x14ac:dyDescent="0.25">
      <c r="A10110" s="12" t="str">
        <f>("56-534025")</f>
        <v>56-534025</v>
      </c>
      <c r="B10110" s="15" t="s">
        <v>14592</v>
      </c>
      <c r="C10110" s="32">
        <v>1286.25</v>
      </c>
    </row>
    <row r="10111" spans="1:3" x14ac:dyDescent="0.25">
      <c r="A10111" s="12" t="str">
        <f>("56-534185")</f>
        <v>56-534185</v>
      </c>
      <c r="B10111" s="15" t="s">
        <v>14110</v>
      </c>
      <c r="C10111" s="32">
        <v>1286.25</v>
      </c>
    </row>
    <row r="10112" spans="1:3" x14ac:dyDescent="0.25">
      <c r="A10112" s="12" t="str">
        <f>("56-534315")</f>
        <v>56-534315</v>
      </c>
      <c r="B10112" s="15" t="s">
        <v>14593</v>
      </c>
      <c r="C10112" s="32">
        <v>1286.25</v>
      </c>
    </row>
    <row r="10113" spans="1:3" ht="31.5" x14ac:dyDescent="0.25">
      <c r="A10113" s="12" t="str">
        <f>("56-534325")</f>
        <v>56-534325</v>
      </c>
      <c r="B10113" s="15" t="s">
        <v>14594</v>
      </c>
      <c r="C10113" s="32">
        <v>1286.25</v>
      </c>
    </row>
    <row r="10114" spans="1:3" x14ac:dyDescent="0.25">
      <c r="A10114" s="12" t="str">
        <f>("56-534335")</f>
        <v>56-534335</v>
      </c>
      <c r="B10114" s="15" t="s">
        <v>14113</v>
      </c>
      <c r="C10114" s="32">
        <v>1403.75</v>
      </c>
    </row>
    <row r="10115" spans="1:3" x14ac:dyDescent="0.25">
      <c r="A10115" s="12" t="str">
        <f>("56-534345")</f>
        <v>56-534345</v>
      </c>
      <c r="B10115" s="15" t="s">
        <v>13815</v>
      </c>
      <c r="C10115" s="32">
        <v>1403.75</v>
      </c>
    </row>
    <row r="10116" spans="1:3" x14ac:dyDescent="0.25">
      <c r="A10116" s="12" t="str">
        <f>("56-534565")</f>
        <v>56-534565</v>
      </c>
      <c r="B10116" s="15" t="s">
        <v>14595</v>
      </c>
      <c r="C10116" s="32">
        <v>1286.25</v>
      </c>
    </row>
    <row r="10117" spans="1:3" ht="31.5" x14ac:dyDescent="0.25">
      <c r="A10117" s="12" t="str">
        <f>("56-534575")</f>
        <v>56-534575</v>
      </c>
      <c r="B10117" s="15" t="s">
        <v>13817</v>
      </c>
      <c r="C10117" s="32">
        <v>1286.25</v>
      </c>
    </row>
    <row r="10118" spans="1:3" x14ac:dyDescent="0.25">
      <c r="A10118" s="12" t="str">
        <f>("56-534585")</f>
        <v>56-534585</v>
      </c>
      <c r="B10118" s="15" t="s">
        <v>14115</v>
      </c>
      <c r="C10118" s="32">
        <v>1403.75</v>
      </c>
    </row>
    <row r="10119" spans="1:3" ht="31.5" x14ac:dyDescent="0.25">
      <c r="A10119" s="12" t="str">
        <f>("56-534595")</f>
        <v>56-534595</v>
      </c>
      <c r="B10119" s="15" t="s">
        <v>14596</v>
      </c>
      <c r="C10119" s="32">
        <v>1286.25</v>
      </c>
    </row>
    <row r="10120" spans="1:3" x14ac:dyDescent="0.25">
      <c r="A10120" s="12" t="str">
        <f>("56-534685")</f>
        <v>56-534685</v>
      </c>
      <c r="B10120" s="15" t="s">
        <v>13827</v>
      </c>
      <c r="C10120" s="32">
        <v>1286.25</v>
      </c>
    </row>
    <row r="10121" spans="1:3" x14ac:dyDescent="0.25">
      <c r="A10121" s="12" t="str">
        <f>("56-534695")</f>
        <v>56-534695</v>
      </c>
      <c r="B10121" s="15" t="s">
        <v>13828</v>
      </c>
      <c r="C10121" s="32">
        <v>1286.25</v>
      </c>
    </row>
    <row r="10122" spans="1:3" x14ac:dyDescent="0.25">
      <c r="A10122" s="12" t="str">
        <f>("56-534705")</f>
        <v>56-534705</v>
      </c>
      <c r="B10122" s="15" t="s">
        <v>13829</v>
      </c>
      <c r="C10122" s="32">
        <v>1286.25</v>
      </c>
    </row>
    <row r="10123" spans="1:3" x14ac:dyDescent="0.25">
      <c r="A10123" s="12" t="str">
        <f>("56-534715")</f>
        <v>56-534715</v>
      </c>
      <c r="B10123" s="15" t="s">
        <v>13830</v>
      </c>
      <c r="C10123" s="32">
        <v>1286.25</v>
      </c>
    </row>
    <row r="10124" spans="1:3" x14ac:dyDescent="0.25">
      <c r="A10124" s="12" t="str">
        <f>("56-534725")</f>
        <v>56-534725</v>
      </c>
      <c r="B10124" s="15" t="s">
        <v>13831</v>
      </c>
      <c r="C10124" s="32">
        <v>1286.25</v>
      </c>
    </row>
    <row r="10125" spans="1:3" x14ac:dyDescent="0.25">
      <c r="A10125" s="12" t="str">
        <f>("56-534735")</f>
        <v>56-534735</v>
      </c>
      <c r="B10125" s="15" t="s">
        <v>13832</v>
      </c>
      <c r="C10125" s="32">
        <v>1286.25</v>
      </c>
    </row>
    <row r="10126" spans="1:3" x14ac:dyDescent="0.25">
      <c r="A10126" s="12" t="str">
        <f>("56-534745")</f>
        <v>56-534745</v>
      </c>
      <c r="B10126" s="15" t="s">
        <v>13833</v>
      </c>
      <c r="C10126" s="32">
        <v>1286.25</v>
      </c>
    </row>
    <row r="10127" spans="1:3" x14ac:dyDescent="0.25">
      <c r="A10127" s="12" t="str">
        <f>("56-534755")</f>
        <v>56-534755</v>
      </c>
      <c r="B10127" s="15" t="s">
        <v>13834</v>
      </c>
      <c r="C10127" s="32">
        <v>1403.75</v>
      </c>
    </row>
    <row r="10128" spans="1:3" x14ac:dyDescent="0.25">
      <c r="A10128" s="12" t="str">
        <f>("56-534765")</f>
        <v>56-534765</v>
      </c>
      <c r="B10128" s="15" t="s">
        <v>13835</v>
      </c>
      <c r="C10128" s="32">
        <v>1286.25</v>
      </c>
    </row>
    <row r="10129" spans="1:3" x14ac:dyDescent="0.25">
      <c r="A10129" s="12" t="str">
        <f>("56-534775")</f>
        <v>56-534775</v>
      </c>
      <c r="B10129" s="15" t="s">
        <v>13836</v>
      </c>
      <c r="C10129" s="32">
        <v>1403.75</v>
      </c>
    </row>
    <row r="10130" spans="1:3" x14ac:dyDescent="0.25">
      <c r="A10130" s="12" t="str">
        <f>("56-534785")</f>
        <v>56-534785</v>
      </c>
      <c r="B10130" s="15" t="s">
        <v>14597</v>
      </c>
      <c r="C10130" s="32">
        <v>1286.25</v>
      </c>
    </row>
    <row r="10131" spans="1:3" x14ac:dyDescent="0.25">
      <c r="A10131" s="12" t="str">
        <f>("56-5340152")</f>
        <v>56-5340152</v>
      </c>
      <c r="B10131" s="15" t="s">
        <v>13808</v>
      </c>
      <c r="C10131" s="32">
        <v>1532.5</v>
      </c>
    </row>
    <row r="10132" spans="1:3" x14ac:dyDescent="0.25">
      <c r="A10132" s="12" t="str">
        <f>("56-5340252")</f>
        <v>56-5340252</v>
      </c>
      <c r="B10132" s="15" t="s">
        <v>14592</v>
      </c>
      <c r="C10132" s="32">
        <v>1527.5</v>
      </c>
    </row>
    <row r="10133" spans="1:3" x14ac:dyDescent="0.25">
      <c r="A10133" s="12" t="str">
        <f>("56-5341852")</f>
        <v>56-5341852</v>
      </c>
      <c r="B10133" s="15" t="s">
        <v>14110</v>
      </c>
      <c r="C10133" s="32">
        <v>1532.5</v>
      </c>
    </row>
    <row r="10134" spans="1:3" x14ac:dyDescent="0.25">
      <c r="A10134" s="12" t="str">
        <f>("56-5343152")</f>
        <v>56-5343152</v>
      </c>
      <c r="B10134" s="15" t="s">
        <v>14593</v>
      </c>
      <c r="C10134" s="32">
        <v>1527.5</v>
      </c>
    </row>
    <row r="10135" spans="1:3" ht="31.5" x14ac:dyDescent="0.25">
      <c r="A10135" s="12" t="str">
        <f>("56-5343252")</f>
        <v>56-5343252</v>
      </c>
      <c r="B10135" s="15" t="s">
        <v>14594</v>
      </c>
      <c r="C10135" s="32">
        <v>1527.5</v>
      </c>
    </row>
    <row r="10136" spans="1:3" x14ac:dyDescent="0.25">
      <c r="A10136" s="12" t="str">
        <f>("56-5343352")</f>
        <v>56-5343352</v>
      </c>
      <c r="B10136" s="15" t="s">
        <v>14598</v>
      </c>
      <c r="C10136" s="32">
        <v>1646.25</v>
      </c>
    </row>
    <row r="10137" spans="1:3" x14ac:dyDescent="0.25">
      <c r="A10137" s="12" t="str">
        <f>("56-5343452")</f>
        <v>56-5343452</v>
      </c>
      <c r="B10137" s="15" t="s">
        <v>13815</v>
      </c>
      <c r="C10137" s="32">
        <v>1638.75</v>
      </c>
    </row>
    <row r="10138" spans="1:3" ht="31.5" x14ac:dyDescent="0.25">
      <c r="A10138" s="12" t="str">
        <f>("56-5345752")</f>
        <v>56-5345752</v>
      </c>
      <c r="B10138" s="15" t="s">
        <v>13817</v>
      </c>
      <c r="C10138" s="32">
        <v>1532.5</v>
      </c>
    </row>
    <row r="10139" spans="1:3" x14ac:dyDescent="0.25">
      <c r="A10139" s="12" t="str">
        <f>("56-5345852")</f>
        <v>56-5345852</v>
      </c>
      <c r="B10139" s="15" t="s">
        <v>14115</v>
      </c>
      <c r="C10139" s="32">
        <v>1646.25</v>
      </c>
    </row>
    <row r="10140" spans="1:3" x14ac:dyDescent="0.25">
      <c r="A10140" s="12" t="str">
        <f>("56-5346852")</f>
        <v>56-5346852</v>
      </c>
      <c r="B10140" s="15" t="s">
        <v>13827</v>
      </c>
      <c r="C10140" s="32">
        <v>1532.5</v>
      </c>
    </row>
    <row r="10141" spans="1:3" x14ac:dyDescent="0.25">
      <c r="A10141" s="12" t="str">
        <f>("56-5346952")</f>
        <v>56-5346952</v>
      </c>
      <c r="B10141" s="15" t="s">
        <v>13828</v>
      </c>
      <c r="C10141" s="32">
        <v>1532.5</v>
      </c>
    </row>
    <row r="10142" spans="1:3" x14ac:dyDescent="0.25">
      <c r="A10142" s="12" t="str">
        <f>("56-5347052")</f>
        <v>56-5347052</v>
      </c>
      <c r="B10142" s="15" t="s">
        <v>13829</v>
      </c>
      <c r="C10142" s="32">
        <v>1532.5</v>
      </c>
    </row>
    <row r="10143" spans="1:3" x14ac:dyDescent="0.25">
      <c r="A10143" s="12" t="str">
        <f>("56-5347152")</f>
        <v>56-5347152</v>
      </c>
      <c r="B10143" s="15" t="s">
        <v>13830</v>
      </c>
      <c r="C10143" s="32">
        <v>1533.75</v>
      </c>
    </row>
    <row r="10144" spans="1:3" x14ac:dyDescent="0.25">
      <c r="A10144" s="12" t="str">
        <f>("56-5347252")</f>
        <v>56-5347252</v>
      </c>
      <c r="B10144" s="15" t="s">
        <v>13831</v>
      </c>
      <c r="C10144" s="32">
        <v>1533.75</v>
      </c>
    </row>
    <row r="10145" spans="1:3" x14ac:dyDescent="0.25">
      <c r="A10145" s="12" t="str">
        <f>("56-5347352")</f>
        <v>56-5347352</v>
      </c>
      <c r="B10145" s="15" t="s">
        <v>13832</v>
      </c>
      <c r="C10145" s="32">
        <v>1533.75</v>
      </c>
    </row>
    <row r="10146" spans="1:3" x14ac:dyDescent="0.25">
      <c r="A10146" s="12" t="str">
        <f>("56-5347452")</f>
        <v>56-5347452</v>
      </c>
      <c r="B10146" s="15" t="s">
        <v>13833</v>
      </c>
      <c r="C10146" s="32">
        <v>1533.75</v>
      </c>
    </row>
    <row r="10147" spans="1:3" x14ac:dyDescent="0.25">
      <c r="A10147" s="12" t="str">
        <f>("56-5347552")</f>
        <v>56-5347552</v>
      </c>
      <c r="B10147" s="15" t="s">
        <v>13834</v>
      </c>
      <c r="C10147" s="32">
        <v>1638.75</v>
      </c>
    </row>
    <row r="10148" spans="1:3" x14ac:dyDescent="0.25">
      <c r="A10148" s="12" t="str">
        <f>("56-5347652")</f>
        <v>56-5347652</v>
      </c>
      <c r="B10148" s="15" t="s">
        <v>13835</v>
      </c>
      <c r="C10148" s="32">
        <v>1527.5</v>
      </c>
    </row>
    <row r="10149" spans="1:3" x14ac:dyDescent="0.25">
      <c r="A10149" s="12" t="str">
        <f>("56-5347752")</f>
        <v>56-5347752</v>
      </c>
      <c r="B10149" s="15" t="s">
        <v>13836</v>
      </c>
      <c r="C10149" s="32">
        <v>1638.75</v>
      </c>
    </row>
    <row r="10150" spans="1:3" x14ac:dyDescent="0.25">
      <c r="A10150" s="12" t="str">
        <f>("56-5347852")</f>
        <v>56-5347852</v>
      </c>
      <c r="B10150" s="15" t="s">
        <v>14597</v>
      </c>
      <c r="C10150" s="32">
        <v>1527.5</v>
      </c>
    </row>
    <row r="10151" spans="1:3" x14ac:dyDescent="0.25">
      <c r="A10151" s="12" t="str">
        <f>("57-0000")</f>
        <v>57-0000</v>
      </c>
      <c r="B10151" s="15" t="s">
        <v>14599</v>
      </c>
      <c r="C10151" s="32">
        <v>58.75</v>
      </c>
    </row>
    <row r="10152" spans="1:3" x14ac:dyDescent="0.25">
      <c r="A10152" s="12" t="str">
        <f>("57-0005")</f>
        <v>57-0005</v>
      </c>
      <c r="B10152" s="15" t="s">
        <v>14599</v>
      </c>
      <c r="C10152" s="32">
        <v>38.75</v>
      </c>
    </row>
    <row r="10153" spans="1:3" x14ac:dyDescent="0.25">
      <c r="A10153" s="12" t="str">
        <f>("57-0010")</f>
        <v>57-0010</v>
      </c>
      <c r="B10153" s="15" t="s">
        <v>14600</v>
      </c>
      <c r="C10153" s="32">
        <v>58.75</v>
      </c>
    </row>
    <row r="10154" spans="1:3" x14ac:dyDescent="0.25">
      <c r="A10154" s="12" t="str">
        <f>("57-0015")</f>
        <v>57-0015</v>
      </c>
      <c r="B10154" s="15" t="s">
        <v>14600</v>
      </c>
      <c r="C10154" s="32">
        <v>38.75</v>
      </c>
    </row>
    <row r="10155" spans="1:3" x14ac:dyDescent="0.25">
      <c r="A10155" s="12" t="str">
        <f>("57-0025")</f>
        <v>57-0025</v>
      </c>
      <c r="B10155" s="15" t="s">
        <v>14601</v>
      </c>
      <c r="C10155" s="32">
        <v>415</v>
      </c>
    </row>
    <row r="10156" spans="1:3" x14ac:dyDescent="0.25">
      <c r="A10156" s="12" t="str">
        <f>("57-0035")</f>
        <v>57-0035</v>
      </c>
      <c r="B10156" s="15" t="s">
        <v>14602</v>
      </c>
      <c r="C10156" s="32">
        <v>505</v>
      </c>
    </row>
    <row r="10157" spans="1:3" x14ac:dyDescent="0.25">
      <c r="A10157" s="12" t="str">
        <f>("57-11005")</f>
        <v>57-11005</v>
      </c>
      <c r="B10157" s="15" t="s">
        <v>14603</v>
      </c>
      <c r="C10157" s="32">
        <v>332.5</v>
      </c>
    </row>
    <row r="10158" spans="1:3" x14ac:dyDescent="0.25">
      <c r="A10158" s="12" t="str">
        <f>("57-1175")</f>
        <v>57-1175</v>
      </c>
      <c r="B10158" s="15" t="s">
        <v>14604</v>
      </c>
      <c r="C10158" s="32">
        <v>1433.75</v>
      </c>
    </row>
    <row r="10159" spans="1:3" x14ac:dyDescent="0.25">
      <c r="A10159" s="12" t="str">
        <f>("57-1915")</f>
        <v>57-1915</v>
      </c>
      <c r="B10159" s="15" t="s">
        <v>14605</v>
      </c>
      <c r="C10159" s="32">
        <v>1433.75</v>
      </c>
    </row>
    <row r="10160" spans="1:3" x14ac:dyDescent="0.25">
      <c r="A10160" s="12" t="str">
        <f>("57-1950")</f>
        <v>57-1950</v>
      </c>
      <c r="B10160" s="15" t="s">
        <v>14606</v>
      </c>
      <c r="C10160" s="32">
        <v>2508.75</v>
      </c>
    </row>
    <row r="10161" spans="1:3" x14ac:dyDescent="0.25">
      <c r="A10161" s="12" t="str">
        <f>("57-1955")</f>
        <v>57-1955</v>
      </c>
      <c r="B10161" s="15" t="s">
        <v>14606</v>
      </c>
      <c r="C10161" s="32">
        <v>1433.75</v>
      </c>
    </row>
    <row r="10162" spans="1:3" x14ac:dyDescent="0.25">
      <c r="A10162" s="12" t="str">
        <f>("57-2015")</f>
        <v>57-2015</v>
      </c>
      <c r="B10162" s="15" t="s">
        <v>14607</v>
      </c>
      <c r="C10162" s="32">
        <v>1433.75</v>
      </c>
    </row>
    <row r="10163" spans="1:3" x14ac:dyDescent="0.25">
      <c r="A10163" s="12" t="str">
        <f>("57-2235")</f>
        <v>57-2235</v>
      </c>
      <c r="B10163" s="15" t="s">
        <v>14608</v>
      </c>
      <c r="C10163" s="32">
        <v>1433.75</v>
      </c>
    </row>
    <row r="10164" spans="1:3" x14ac:dyDescent="0.25">
      <c r="A10164" s="12" t="str">
        <f>("57-2270")</f>
        <v>57-2270</v>
      </c>
      <c r="B10164" s="15" t="s">
        <v>14609</v>
      </c>
      <c r="C10164" s="32">
        <v>2508.75</v>
      </c>
    </row>
    <row r="10165" spans="1:3" x14ac:dyDescent="0.25">
      <c r="A10165" s="12" t="str">
        <f>("57-2275")</f>
        <v>57-2275</v>
      </c>
      <c r="B10165" s="15" t="s">
        <v>14609</v>
      </c>
      <c r="C10165" s="32">
        <v>1433.75</v>
      </c>
    </row>
    <row r="10166" spans="1:3" x14ac:dyDescent="0.25">
      <c r="A10166" s="12" t="str">
        <f>("57-2295")</f>
        <v>57-2295</v>
      </c>
      <c r="B10166" s="15" t="s">
        <v>14610</v>
      </c>
      <c r="C10166" s="32">
        <v>1433.75</v>
      </c>
    </row>
    <row r="10167" spans="1:3" x14ac:dyDescent="0.25">
      <c r="A10167" s="12" t="str">
        <f>("57-2315")</f>
        <v>57-2315</v>
      </c>
      <c r="B10167" s="15" t="s">
        <v>14611</v>
      </c>
      <c r="C10167" s="32">
        <v>1433.75</v>
      </c>
    </row>
    <row r="10168" spans="1:3" x14ac:dyDescent="0.25">
      <c r="A10168" s="12" t="str">
        <f>("57-2335")</f>
        <v>57-2335</v>
      </c>
      <c r="B10168" s="15" t="s">
        <v>14612</v>
      </c>
      <c r="C10168" s="32">
        <v>1433.75</v>
      </c>
    </row>
    <row r="10169" spans="1:3" x14ac:dyDescent="0.25">
      <c r="A10169" s="12" t="str">
        <f>("57-2360")</f>
        <v>57-2360</v>
      </c>
      <c r="B10169" s="15" t="s">
        <v>14613</v>
      </c>
      <c r="C10169" s="32">
        <v>2508.75</v>
      </c>
    </row>
    <row r="10170" spans="1:3" x14ac:dyDescent="0.25">
      <c r="A10170" s="12" t="str">
        <f>("57-2365")</f>
        <v>57-2365</v>
      </c>
      <c r="B10170" s="15" t="s">
        <v>14613</v>
      </c>
      <c r="C10170" s="32">
        <v>1433.75</v>
      </c>
    </row>
    <row r="10171" spans="1:3" x14ac:dyDescent="0.25">
      <c r="A10171" s="12" t="str">
        <f>("57-2370")</f>
        <v>57-2370</v>
      </c>
      <c r="B10171" s="15" t="s">
        <v>14614</v>
      </c>
      <c r="C10171" s="32">
        <v>2508.75</v>
      </c>
    </row>
    <row r="10172" spans="1:3" x14ac:dyDescent="0.25">
      <c r="A10172" s="12" t="str">
        <f>("57-2375")</f>
        <v>57-2375</v>
      </c>
      <c r="B10172" s="15" t="s">
        <v>14614</v>
      </c>
      <c r="C10172" s="32">
        <v>1433.75</v>
      </c>
    </row>
    <row r="10173" spans="1:3" x14ac:dyDescent="0.25">
      <c r="A10173" s="12" t="str">
        <f>("57-2500")</f>
        <v>57-2500</v>
      </c>
      <c r="B10173" s="15" t="s">
        <v>14157</v>
      </c>
      <c r="C10173" s="32">
        <v>2508.75</v>
      </c>
    </row>
    <row r="10174" spans="1:3" x14ac:dyDescent="0.25">
      <c r="A10174" s="12" t="str">
        <f>("57-2505")</f>
        <v>57-2505</v>
      </c>
      <c r="B10174" s="15" t="s">
        <v>14157</v>
      </c>
      <c r="C10174" s="32">
        <v>1433.75</v>
      </c>
    </row>
    <row r="10175" spans="1:3" x14ac:dyDescent="0.25">
      <c r="A10175" s="12" t="str">
        <f>("57-2785")</f>
        <v>57-2785</v>
      </c>
      <c r="B10175" s="15" t="s">
        <v>14345</v>
      </c>
      <c r="C10175" s="32">
        <v>1247.5</v>
      </c>
    </row>
    <row r="10176" spans="1:3" x14ac:dyDescent="0.25">
      <c r="A10176" s="12" t="str">
        <f>("57-3540")</f>
        <v>57-3540</v>
      </c>
      <c r="B10176" s="15" t="s">
        <v>14615</v>
      </c>
      <c r="C10176" s="32">
        <v>2508.75</v>
      </c>
    </row>
    <row r="10177" spans="1:3" x14ac:dyDescent="0.25">
      <c r="A10177" s="12" t="str">
        <f>("57-3545")</f>
        <v>57-3545</v>
      </c>
      <c r="B10177" s="15" t="s">
        <v>14615</v>
      </c>
      <c r="C10177" s="32">
        <v>1433.75</v>
      </c>
    </row>
    <row r="10178" spans="1:3" x14ac:dyDescent="0.25">
      <c r="A10178" s="12" t="str">
        <f>("57-3550")</f>
        <v>57-3550</v>
      </c>
      <c r="B10178" s="15" t="s">
        <v>14235</v>
      </c>
      <c r="C10178" s="32">
        <v>2508.75</v>
      </c>
    </row>
    <row r="10179" spans="1:3" x14ac:dyDescent="0.25">
      <c r="A10179" s="12" t="str">
        <f>("57-3555")</f>
        <v>57-3555</v>
      </c>
      <c r="B10179" s="15" t="s">
        <v>14235</v>
      </c>
      <c r="C10179" s="32">
        <v>1433.75</v>
      </c>
    </row>
    <row r="10180" spans="1:3" x14ac:dyDescent="0.25">
      <c r="A10180" s="12" t="str">
        <f>("57-3610")</f>
        <v>57-3610</v>
      </c>
      <c r="B10180" s="15" t="s">
        <v>14616</v>
      </c>
      <c r="C10180" s="32">
        <v>2508.75</v>
      </c>
    </row>
    <row r="10181" spans="1:3" x14ac:dyDescent="0.25">
      <c r="A10181" s="12" t="str">
        <f>("57-3615")</f>
        <v>57-3615</v>
      </c>
      <c r="B10181" s="15" t="s">
        <v>14616</v>
      </c>
      <c r="C10181" s="32">
        <v>1433.75</v>
      </c>
    </row>
    <row r="10182" spans="1:3" x14ac:dyDescent="0.25">
      <c r="A10182" s="12" t="str">
        <f>("57-3665")</f>
        <v>57-3665</v>
      </c>
      <c r="B10182" s="15" t="s">
        <v>14617</v>
      </c>
      <c r="C10182" s="32">
        <v>1433.75</v>
      </c>
    </row>
    <row r="10183" spans="1:3" x14ac:dyDescent="0.25">
      <c r="A10183" s="12" t="str">
        <f>("57-3680")</f>
        <v>57-3680</v>
      </c>
      <c r="B10183" s="15" t="s">
        <v>14618</v>
      </c>
      <c r="C10183" s="32">
        <v>2508.75</v>
      </c>
    </row>
    <row r="10184" spans="1:3" x14ac:dyDescent="0.25">
      <c r="A10184" s="12" t="str">
        <f>("57-3685")</f>
        <v>57-3685</v>
      </c>
      <c r="B10184" s="15" t="s">
        <v>14618</v>
      </c>
      <c r="C10184" s="32">
        <v>1433.75</v>
      </c>
    </row>
    <row r="10185" spans="1:3" x14ac:dyDescent="0.25">
      <c r="A10185" s="12" t="str">
        <f>("57-3695")</f>
        <v>57-3695</v>
      </c>
      <c r="B10185" s="15" t="s">
        <v>14619</v>
      </c>
      <c r="C10185" s="32">
        <v>1433.75</v>
      </c>
    </row>
    <row r="10186" spans="1:3" x14ac:dyDescent="0.25">
      <c r="A10186" s="12" t="str">
        <f>("57-3700")</f>
        <v>57-3700</v>
      </c>
      <c r="B10186" s="15" t="s">
        <v>14620</v>
      </c>
      <c r="C10186" s="32">
        <v>2508.75</v>
      </c>
    </row>
    <row r="10187" spans="1:3" x14ac:dyDescent="0.25">
      <c r="A10187" s="12" t="str">
        <f>("57-3705")</f>
        <v>57-3705</v>
      </c>
      <c r="B10187" s="15" t="s">
        <v>14621</v>
      </c>
      <c r="C10187" s="32">
        <v>1433.75</v>
      </c>
    </row>
    <row r="10188" spans="1:3" x14ac:dyDescent="0.25">
      <c r="A10188" s="12" t="str">
        <f>("57-3780")</f>
        <v>57-3780</v>
      </c>
      <c r="B10188" s="15" t="s">
        <v>14240</v>
      </c>
      <c r="C10188" s="32">
        <v>2508.75</v>
      </c>
    </row>
    <row r="10189" spans="1:3" x14ac:dyDescent="0.25">
      <c r="A10189" s="12" t="str">
        <f>("57-3785")</f>
        <v>57-3785</v>
      </c>
      <c r="B10189" s="15" t="s">
        <v>14240</v>
      </c>
      <c r="C10189" s="32">
        <v>1433.75</v>
      </c>
    </row>
    <row r="10190" spans="1:3" x14ac:dyDescent="0.25">
      <c r="A10190" s="12" t="str">
        <f>("57-3790")</f>
        <v>57-3790</v>
      </c>
      <c r="B10190" s="15" t="s">
        <v>14622</v>
      </c>
      <c r="C10190" s="32">
        <v>2508.75</v>
      </c>
    </row>
    <row r="10191" spans="1:3" x14ac:dyDescent="0.25">
      <c r="A10191" s="12" t="str">
        <f>("57-3795")</f>
        <v>57-3795</v>
      </c>
      <c r="B10191" s="15" t="s">
        <v>14622</v>
      </c>
      <c r="C10191" s="32">
        <v>1433.75</v>
      </c>
    </row>
    <row r="10192" spans="1:3" x14ac:dyDescent="0.25">
      <c r="A10192" s="12" t="str">
        <f>("57-3805")</f>
        <v>57-3805</v>
      </c>
      <c r="B10192" s="15" t="s">
        <v>14205</v>
      </c>
      <c r="C10192" s="32">
        <v>1433.75</v>
      </c>
    </row>
    <row r="10193" spans="1:3" x14ac:dyDescent="0.25">
      <c r="A10193" s="12" t="str">
        <f>("57-3825")</f>
        <v>57-3825</v>
      </c>
      <c r="B10193" s="15" t="s">
        <v>14623</v>
      </c>
      <c r="C10193" s="32">
        <v>1433.75</v>
      </c>
    </row>
    <row r="10194" spans="1:3" x14ac:dyDescent="0.25">
      <c r="A10194" s="12" t="str">
        <f>("57-3830")</f>
        <v>57-3830</v>
      </c>
      <c r="B10194" s="15" t="s">
        <v>14624</v>
      </c>
      <c r="C10194" s="32">
        <v>2508.75</v>
      </c>
    </row>
    <row r="10195" spans="1:3" x14ac:dyDescent="0.25">
      <c r="A10195" s="12" t="str">
        <f>("57-3835")</f>
        <v>57-3835</v>
      </c>
      <c r="B10195" s="15" t="s">
        <v>14624</v>
      </c>
      <c r="C10195" s="32">
        <v>1433.75</v>
      </c>
    </row>
    <row r="10196" spans="1:3" x14ac:dyDescent="0.25">
      <c r="A10196" s="12" t="str">
        <f>("57-3845")</f>
        <v>57-3845</v>
      </c>
      <c r="B10196" s="15" t="s">
        <v>14625</v>
      </c>
      <c r="C10196" s="32">
        <v>1433.75</v>
      </c>
    </row>
    <row r="10197" spans="1:3" x14ac:dyDescent="0.25">
      <c r="A10197" s="12" t="str">
        <f>("57-3870")</f>
        <v>57-3870</v>
      </c>
      <c r="B10197" s="15" t="s">
        <v>14177</v>
      </c>
      <c r="C10197" s="32">
        <v>2508.75</v>
      </c>
    </row>
    <row r="10198" spans="1:3" x14ac:dyDescent="0.25">
      <c r="A10198" s="12" t="str">
        <f>("57-3875")</f>
        <v>57-3875</v>
      </c>
      <c r="B10198" s="15" t="s">
        <v>14177</v>
      </c>
      <c r="C10198" s="32">
        <v>1433.75</v>
      </c>
    </row>
    <row r="10199" spans="1:3" x14ac:dyDescent="0.25">
      <c r="A10199" s="12" t="str">
        <f>("57-3885")</f>
        <v>57-3885</v>
      </c>
      <c r="B10199" s="15" t="s">
        <v>14165</v>
      </c>
      <c r="C10199" s="32">
        <v>1433.75</v>
      </c>
    </row>
    <row r="10200" spans="1:3" x14ac:dyDescent="0.25">
      <c r="A10200" s="12" t="str">
        <f>("57-3900")</f>
        <v>57-3900</v>
      </c>
      <c r="B10200" s="15" t="s">
        <v>14162</v>
      </c>
      <c r="C10200" s="32">
        <v>2508.75</v>
      </c>
    </row>
    <row r="10201" spans="1:3" x14ac:dyDescent="0.25">
      <c r="A10201" s="12" t="str">
        <f>("57-3905")</f>
        <v>57-3905</v>
      </c>
      <c r="B10201" s="15" t="s">
        <v>14162</v>
      </c>
      <c r="C10201" s="32">
        <v>1433.75</v>
      </c>
    </row>
    <row r="10202" spans="1:3" x14ac:dyDescent="0.25">
      <c r="A10202" s="12" t="str">
        <f>("57-3915")</f>
        <v>57-3915</v>
      </c>
      <c r="B10202" s="15" t="s">
        <v>14626</v>
      </c>
      <c r="C10202" s="32">
        <v>1433.75</v>
      </c>
    </row>
    <row r="10203" spans="1:3" x14ac:dyDescent="0.25">
      <c r="A10203" s="12" t="str">
        <f>("57-3925")</f>
        <v>57-3925</v>
      </c>
      <c r="B10203" s="15" t="s">
        <v>14627</v>
      </c>
      <c r="C10203" s="32">
        <v>1433.75</v>
      </c>
    </row>
    <row r="10204" spans="1:3" x14ac:dyDescent="0.25">
      <c r="A10204" s="12" t="str">
        <f>("57-3935")</f>
        <v>57-3935</v>
      </c>
      <c r="B10204" s="15" t="s">
        <v>14628</v>
      </c>
      <c r="C10204" s="32">
        <v>1433.75</v>
      </c>
    </row>
    <row r="10205" spans="1:3" x14ac:dyDescent="0.25">
      <c r="A10205" s="12" t="str">
        <f>("57-3945")</f>
        <v>57-3945</v>
      </c>
      <c r="B10205" s="15" t="s">
        <v>14629</v>
      </c>
      <c r="C10205" s="32">
        <v>1433.75</v>
      </c>
    </row>
    <row r="10206" spans="1:3" x14ac:dyDescent="0.25">
      <c r="A10206" s="12" t="str">
        <f>("57-3950")</f>
        <v>57-3950</v>
      </c>
      <c r="B10206" s="15" t="s">
        <v>14630</v>
      </c>
      <c r="C10206" s="32">
        <v>2508.75</v>
      </c>
    </row>
    <row r="10207" spans="1:3" x14ac:dyDescent="0.25">
      <c r="A10207" s="12" t="str">
        <f>("57-3955")</f>
        <v>57-3955</v>
      </c>
      <c r="B10207" s="15" t="s">
        <v>14631</v>
      </c>
      <c r="C10207" s="32">
        <v>1433.75</v>
      </c>
    </row>
    <row r="10208" spans="1:3" x14ac:dyDescent="0.25">
      <c r="A10208" s="12" t="str">
        <f>("57-3955S")</f>
        <v>57-3955S</v>
      </c>
      <c r="B10208" s="15" t="s">
        <v>14632</v>
      </c>
      <c r="C10208" s="32">
        <v>1575</v>
      </c>
    </row>
    <row r="10209" spans="1:3" x14ac:dyDescent="0.25">
      <c r="A10209" s="12" t="str">
        <f>("57-3960")</f>
        <v>57-3960</v>
      </c>
      <c r="B10209" s="15" t="s">
        <v>14633</v>
      </c>
      <c r="C10209" s="32">
        <v>2508.75</v>
      </c>
    </row>
    <row r="10210" spans="1:3" x14ac:dyDescent="0.25">
      <c r="A10210" s="12" t="str">
        <f>("57-3965")</f>
        <v>57-3965</v>
      </c>
      <c r="B10210" s="15" t="s">
        <v>14633</v>
      </c>
      <c r="C10210" s="32">
        <v>1433.75</v>
      </c>
    </row>
    <row r="10211" spans="1:3" x14ac:dyDescent="0.25">
      <c r="A10211" s="12" t="str">
        <f>("57-3970")</f>
        <v>57-3970</v>
      </c>
      <c r="B10211" s="15" t="s">
        <v>14210</v>
      </c>
      <c r="C10211" s="32">
        <v>2508.75</v>
      </c>
    </row>
    <row r="10212" spans="1:3" x14ac:dyDescent="0.25">
      <c r="A10212" s="12" t="str">
        <f>("57-3975")</f>
        <v>57-3975</v>
      </c>
      <c r="B10212" s="15" t="s">
        <v>14210</v>
      </c>
      <c r="C10212" s="32">
        <v>1433.75</v>
      </c>
    </row>
    <row r="10213" spans="1:3" x14ac:dyDescent="0.25">
      <c r="A10213" s="12" t="str">
        <f>("57-3985")</f>
        <v>57-3985</v>
      </c>
      <c r="B10213" s="15" t="s">
        <v>14148</v>
      </c>
      <c r="C10213" s="32">
        <v>1433.75</v>
      </c>
    </row>
    <row r="10214" spans="1:3" x14ac:dyDescent="0.25">
      <c r="A10214" s="12" t="str">
        <f>("57-3990")</f>
        <v>57-3990</v>
      </c>
      <c r="B10214" s="15" t="s">
        <v>14167</v>
      </c>
      <c r="C10214" s="32">
        <v>2508.75</v>
      </c>
    </row>
    <row r="10215" spans="1:3" x14ac:dyDescent="0.25">
      <c r="A10215" s="12" t="str">
        <f>("57-3995")</f>
        <v>57-3995</v>
      </c>
      <c r="B10215" s="15" t="s">
        <v>14167</v>
      </c>
      <c r="C10215" s="32">
        <v>1433.75</v>
      </c>
    </row>
    <row r="10216" spans="1:3" x14ac:dyDescent="0.25">
      <c r="A10216" s="12" t="str">
        <f>("57-3995S")</f>
        <v>57-3995S</v>
      </c>
      <c r="B10216" s="15" t="s">
        <v>14634</v>
      </c>
      <c r="C10216" s="32">
        <v>1575</v>
      </c>
    </row>
    <row r="10217" spans="1:3" x14ac:dyDescent="0.25">
      <c r="A10217" s="12" t="str">
        <f>("57-4020")</f>
        <v>57-4020</v>
      </c>
      <c r="B10217" s="15" t="s">
        <v>14149</v>
      </c>
      <c r="C10217" s="32">
        <v>2508.75</v>
      </c>
    </row>
    <row r="10218" spans="1:3" x14ac:dyDescent="0.25">
      <c r="A10218" s="12" t="str">
        <f>("57-4025")</f>
        <v>57-4025</v>
      </c>
      <c r="B10218" s="15" t="s">
        <v>14222</v>
      </c>
      <c r="C10218" s="32">
        <v>1433.75</v>
      </c>
    </row>
    <row r="10219" spans="1:3" x14ac:dyDescent="0.25">
      <c r="A10219" s="12" t="str">
        <f>("57-4045")</f>
        <v>57-4045</v>
      </c>
      <c r="B10219" s="15" t="s">
        <v>14248</v>
      </c>
      <c r="C10219" s="32">
        <v>1437.5</v>
      </c>
    </row>
    <row r="10220" spans="1:3" x14ac:dyDescent="0.25">
      <c r="A10220" s="12" t="str">
        <f>("57-4055")</f>
        <v>57-4055</v>
      </c>
      <c r="B10220" s="15" t="s">
        <v>14635</v>
      </c>
      <c r="C10220" s="32">
        <v>1437.5</v>
      </c>
    </row>
    <row r="10221" spans="1:3" x14ac:dyDescent="0.25">
      <c r="A10221" s="12" t="str">
        <f>("57-4060")</f>
        <v>57-4060</v>
      </c>
      <c r="B10221" s="15" t="s">
        <v>14636</v>
      </c>
      <c r="C10221" s="32">
        <v>2517.5</v>
      </c>
    </row>
    <row r="10222" spans="1:3" x14ac:dyDescent="0.25">
      <c r="A10222" s="12" t="str">
        <f>("57-4065")</f>
        <v>57-4065</v>
      </c>
      <c r="B10222" s="15" t="s">
        <v>14636</v>
      </c>
      <c r="C10222" s="32">
        <v>1437.5</v>
      </c>
    </row>
    <row r="10223" spans="1:3" x14ac:dyDescent="0.25">
      <c r="A10223" s="12" t="str">
        <f>("57-4085")</f>
        <v>57-4085</v>
      </c>
      <c r="B10223" s="15" t="s">
        <v>14637</v>
      </c>
      <c r="C10223" s="32">
        <v>1562.5</v>
      </c>
    </row>
    <row r="10224" spans="1:3" x14ac:dyDescent="0.25">
      <c r="A10224" s="12" t="str">
        <f>("57-4095")</f>
        <v>57-4095</v>
      </c>
      <c r="B10224" s="15" t="s">
        <v>14346</v>
      </c>
      <c r="C10224" s="32">
        <v>1433.75</v>
      </c>
    </row>
    <row r="10225" spans="1:3" x14ac:dyDescent="0.25">
      <c r="A10225" s="12" t="str">
        <f>("57-4100")</f>
        <v>57-4100</v>
      </c>
      <c r="B10225" s="15" t="s">
        <v>14638</v>
      </c>
      <c r="C10225" s="32">
        <v>2508.75</v>
      </c>
    </row>
    <row r="10226" spans="1:3" x14ac:dyDescent="0.25">
      <c r="A10226" s="12" t="str">
        <f>("57-4105")</f>
        <v>57-4105</v>
      </c>
      <c r="B10226" s="15" t="s">
        <v>14638</v>
      </c>
      <c r="C10226" s="32">
        <v>1223.75</v>
      </c>
    </row>
    <row r="10227" spans="1:3" x14ac:dyDescent="0.25">
      <c r="A10227" s="12" t="str">
        <f>("57-4120")</f>
        <v>57-4120</v>
      </c>
      <c r="B10227" s="15" t="s">
        <v>14639</v>
      </c>
      <c r="C10227" s="32">
        <v>2508.75</v>
      </c>
    </row>
    <row r="10228" spans="1:3" x14ac:dyDescent="0.25">
      <c r="A10228" s="12" t="str">
        <f>("57-4125")</f>
        <v>57-4125</v>
      </c>
      <c r="B10228" s="15" t="s">
        <v>14639</v>
      </c>
      <c r="C10228" s="32">
        <v>1433.75</v>
      </c>
    </row>
    <row r="10229" spans="1:3" x14ac:dyDescent="0.25">
      <c r="A10229" s="12" t="str">
        <f>("57-94100")</f>
        <v>57-94100</v>
      </c>
      <c r="B10229" s="15" t="s">
        <v>14638</v>
      </c>
      <c r="C10229" s="32">
        <v>3277.5</v>
      </c>
    </row>
    <row r="10230" spans="1:3" x14ac:dyDescent="0.25">
      <c r="A10230" s="12" t="str">
        <f>("57-22275")</f>
        <v>57-22275</v>
      </c>
      <c r="B10230" s="15" t="s">
        <v>14609</v>
      </c>
      <c r="C10230" s="32">
        <v>1146.25</v>
      </c>
    </row>
    <row r="10231" spans="1:3" x14ac:dyDescent="0.25">
      <c r="A10231" s="12" t="str">
        <f>("57-22370")</f>
        <v>57-22370</v>
      </c>
      <c r="B10231" s="15" t="s">
        <v>14614</v>
      </c>
      <c r="C10231" s="32">
        <v>2006.25</v>
      </c>
    </row>
    <row r="10232" spans="1:3" x14ac:dyDescent="0.25">
      <c r="A10232" s="12" t="str">
        <f>("57-22375")</f>
        <v>57-22375</v>
      </c>
      <c r="B10232" s="15" t="s">
        <v>14640</v>
      </c>
      <c r="C10232" s="32">
        <v>1147.5</v>
      </c>
    </row>
    <row r="10233" spans="1:3" x14ac:dyDescent="0.25">
      <c r="A10233" s="12" t="str">
        <f>("57-22505")</f>
        <v>57-22505</v>
      </c>
      <c r="B10233" s="15" t="s">
        <v>14641</v>
      </c>
      <c r="C10233" s="32">
        <v>1147.5</v>
      </c>
    </row>
    <row r="10234" spans="1:3" x14ac:dyDescent="0.25">
      <c r="A10234" s="12" t="str">
        <f>("57-22785")</f>
        <v>57-22785</v>
      </c>
      <c r="B10234" s="15" t="s">
        <v>14345</v>
      </c>
      <c r="C10234" s="32">
        <v>1560</v>
      </c>
    </row>
    <row r="10235" spans="1:3" x14ac:dyDescent="0.25">
      <c r="A10235" s="12" t="str">
        <f>("57-23540")</f>
        <v>57-23540</v>
      </c>
      <c r="B10235" s="15" t="s">
        <v>14615</v>
      </c>
      <c r="C10235" s="32">
        <v>2006.25</v>
      </c>
    </row>
    <row r="10236" spans="1:3" ht="31.5" x14ac:dyDescent="0.25">
      <c r="A10236" s="12" t="str">
        <f>("57-23545")</f>
        <v>57-23545</v>
      </c>
      <c r="B10236" s="15" t="s">
        <v>14642</v>
      </c>
      <c r="C10236" s="32">
        <v>1147.5</v>
      </c>
    </row>
    <row r="10237" spans="1:3" x14ac:dyDescent="0.25">
      <c r="A10237" s="12" t="str">
        <f>("57-23550")</f>
        <v>57-23550</v>
      </c>
      <c r="B10237" s="15" t="s">
        <v>14235</v>
      </c>
      <c r="C10237" s="32">
        <v>2006.25</v>
      </c>
    </row>
    <row r="10238" spans="1:3" x14ac:dyDescent="0.25">
      <c r="A10238" s="12" t="str">
        <f>("57-23555")</f>
        <v>57-23555</v>
      </c>
      <c r="B10238" s="15" t="s">
        <v>14235</v>
      </c>
      <c r="C10238" s="32">
        <v>1147.5</v>
      </c>
    </row>
    <row r="10239" spans="1:3" x14ac:dyDescent="0.25">
      <c r="A10239" s="12" t="str">
        <f>("57-23685")</f>
        <v>57-23685</v>
      </c>
      <c r="B10239" s="15" t="s">
        <v>14618</v>
      </c>
      <c r="C10239" s="32">
        <v>1147.5</v>
      </c>
    </row>
    <row r="10240" spans="1:3" x14ac:dyDescent="0.25">
      <c r="A10240" s="12" t="str">
        <f>("57-23700")</f>
        <v>57-23700</v>
      </c>
      <c r="B10240" s="15" t="s">
        <v>14643</v>
      </c>
      <c r="C10240" s="32">
        <v>2005</v>
      </c>
    </row>
    <row r="10241" spans="1:3" x14ac:dyDescent="0.25">
      <c r="A10241" s="12" t="str">
        <f>("57-23705")</f>
        <v>57-23705</v>
      </c>
      <c r="B10241" s="15" t="s">
        <v>14644</v>
      </c>
      <c r="C10241" s="32">
        <v>1147.5</v>
      </c>
    </row>
    <row r="10242" spans="1:3" x14ac:dyDescent="0.25">
      <c r="A10242" s="12" t="str">
        <f>("57-23780")</f>
        <v>57-23780</v>
      </c>
      <c r="B10242" s="15" t="s">
        <v>14240</v>
      </c>
      <c r="C10242" s="32">
        <v>2006.25</v>
      </c>
    </row>
    <row r="10243" spans="1:3" x14ac:dyDescent="0.25">
      <c r="A10243" s="12" t="str">
        <f>("57-23785")</f>
        <v>57-23785</v>
      </c>
      <c r="B10243" s="15" t="s">
        <v>14645</v>
      </c>
      <c r="C10243" s="32">
        <v>1147.5</v>
      </c>
    </row>
    <row r="10244" spans="1:3" x14ac:dyDescent="0.25">
      <c r="A10244" s="12" t="str">
        <f>("57-23790")</f>
        <v>57-23790</v>
      </c>
      <c r="B10244" s="15" t="s">
        <v>14622</v>
      </c>
      <c r="C10244" s="32">
        <v>2005</v>
      </c>
    </row>
    <row r="10245" spans="1:3" x14ac:dyDescent="0.25">
      <c r="A10245" s="12" t="str">
        <f>("57-23795")</f>
        <v>57-23795</v>
      </c>
      <c r="B10245" s="15" t="s">
        <v>14646</v>
      </c>
      <c r="C10245" s="32">
        <v>1147.5</v>
      </c>
    </row>
    <row r="10246" spans="1:3" x14ac:dyDescent="0.25">
      <c r="A10246" s="12" t="str">
        <f>("57-23805")</f>
        <v>57-23805</v>
      </c>
      <c r="B10246" s="15" t="s">
        <v>14205</v>
      </c>
      <c r="C10246" s="32">
        <v>1147.5</v>
      </c>
    </row>
    <row r="10247" spans="1:3" x14ac:dyDescent="0.25">
      <c r="A10247" s="12" t="str">
        <f>("57-23825")</f>
        <v>57-23825</v>
      </c>
      <c r="B10247" s="15" t="s">
        <v>14647</v>
      </c>
      <c r="C10247" s="32">
        <v>1147.5</v>
      </c>
    </row>
    <row r="10248" spans="1:3" x14ac:dyDescent="0.25">
      <c r="A10248" s="12" t="str">
        <f>("57-23835")</f>
        <v>57-23835</v>
      </c>
      <c r="B10248" s="15" t="s">
        <v>14648</v>
      </c>
      <c r="C10248" s="32">
        <v>1147.5</v>
      </c>
    </row>
    <row r="10249" spans="1:3" x14ac:dyDescent="0.25">
      <c r="A10249" s="12" t="str">
        <f>("57-23845")</f>
        <v>57-23845</v>
      </c>
      <c r="B10249" s="15" t="s">
        <v>14219</v>
      </c>
      <c r="C10249" s="32">
        <v>1147.5</v>
      </c>
    </row>
    <row r="10250" spans="1:3" x14ac:dyDescent="0.25">
      <c r="A10250" s="12" t="str">
        <f>("57-23870")</f>
        <v>57-23870</v>
      </c>
      <c r="B10250" s="15" t="s">
        <v>14177</v>
      </c>
      <c r="C10250" s="32">
        <v>2005</v>
      </c>
    </row>
    <row r="10251" spans="1:3" x14ac:dyDescent="0.25">
      <c r="A10251" s="12" t="str">
        <f>("57-23875")</f>
        <v>57-23875</v>
      </c>
      <c r="B10251" s="15" t="s">
        <v>14649</v>
      </c>
      <c r="C10251" s="32">
        <v>1147.5</v>
      </c>
    </row>
    <row r="10252" spans="1:3" x14ac:dyDescent="0.25">
      <c r="A10252" s="12" t="str">
        <f>("57-23885")</f>
        <v>57-23885</v>
      </c>
      <c r="B10252" s="15" t="s">
        <v>14650</v>
      </c>
      <c r="C10252" s="32">
        <v>1147.5</v>
      </c>
    </row>
    <row r="10253" spans="1:3" x14ac:dyDescent="0.25">
      <c r="A10253" s="12" t="str">
        <f>("57-23905")</f>
        <v>57-23905</v>
      </c>
      <c r="B10253" s="15" t="s">
        <v>14651</v>
      </c>
      <c r="C10253" s="32">
        <v>1147.5</v>
      </c>
    </row>
    <row r="10254" spans="1:3" x14ac:dyDescent="0.25">
      <c r="A10254" s="12" t="str">
        <f>("57-23935")</f>
        <v>57-23935</v>
      </c>
      <c r="B10254" s="15" t="s">
        <v>14652</v>
      </c>
      <c r="C10254" s="32">
        <v>1147.5</v>
      </c>
    </row>
    <row r="10255" spans="1:3" x14ac:dyDescent="0.25">
      <c r="A10255" s="12" t="str">
        <f>("57-23945")</f>
        <v>57-23945</v>
      </c>
      <c r="B10255" s="15" t="s">
        <v>14653</v>
      </c>
      <c r="C10255" s="32">
        <v>1147.5</v>
      </c>
    </row>
    <row r="10256" spans="1:3" x14ac:dyDescent="0.25">
      <c r="A10256" s="12" t="str">
        <f>("57-23955")</f>
        <v>57-23955</v>
      </c>
      <c r="B10256" s="15" t="s">
        <v>14631</v>
      </c>
      <c r="C10256" s="32">
        <v>1147.5</v>
      </c>
    </row>
    <row r="10257" spans="1:3" x14ac:dyDescent="0.25">
      <c r="A10257" s="12" t="str">
        <f>("57-23960")</f>
        <v>57-23960</v>
      </c>
      <c r="B10257" s="15" t="s">
        <v>14654</v>
      </c>
      <c r="C10257" s="32">
        <v>2005</v>
      </c>
    </row>
    <row r="10258" spans="1:3" x14ac:dyDescent="0.25">
      <c r="A10258" s="12" t="str">
        <f>("57-23965")</f>
        <v>57-23965</v>
      </c>
      <c r="B10258" s="15" t="s">
        <v>14655</v>
      </c>
      <c r="C10258" s="32">
        <v>1147.5</v>
      </c>
    </row>
    <row r="10259" spans="1:3" x14ac:dyDescent="0.25">
      <c r="A10259" s="12" t="str">
        <f>("57-23970")</f>
        <v>57-23970</v>
      </c>
      <c r="B10259" s="15" t="s">
        <v>14656</v>
      </c>
      <c r="C10259" s="32">
        <v>2006.25</v>
      </c>
    </row>
    <row r="10260" spans="1:3" x14ac:dyDescent="0.25">
      <c r="A10260" s="12" t="str">
        <f>("57-23975")</f>
        <v>57-23975</v>
      </c>
      <c r="B10260" s="15" t="s">
        <v>14656</v>
      </c>
      <c r="C10260" s="32">
        <v>1146.25</v>
      </c>
    </row>
    <row r="10261" spans="1:3" x14ac:dyDescent="0.25">
      <c r="A10261" s="12" t="str">
        <f>("57-23990")</f>
        <v>57-23990</v>
      </c>
      <c r="B10261" s="15" t="s">
        <v>14657</v>
      </c>
      <c r="C10261" s="32">
        <v>2005</v>
      </c>
    </row>
    <row r="10262" spans="1:3" x14ac:dyDescent="0.25">
      <c r="A10262" s="12" t="str">
        <f>("57-23995")</f>
        <v>57-23995</v>
      </c>
      <c r="B10262" s="15" t="s">
        <v>14657</v>
      </c>
      <c r="C10262" s="32">
        <v>1147.5</v>
      </c>
    </row>
    <row r="10263" spans="1:3" x14ac:dyDescent="0.25">
      <c r="A10263" s="12" t="str">
        <f>("57-24020")</f>
        <v>57-24020</v>
      </c>
      <c r="B10263" s="15" t="s">
        <v>14149</v>
      </c>
      <c r="C10263" s="32">
        <v>2006.25</v>
      </c>
    </row>
    <row r="10264" spans="1:3" x14ac:dyDescent="0.25">
      <c r="A10264" s="12" t="str">
        <f>("57-24025")</f>
        <v>57-24025</v>
      </c>
      <c r="B10264" s="15" t="s">
        <v>14658</v>
      </c>
      <c r="C10264" s="32">
        <v>1147.5</v>
      </c>
    </row>
    <row r="10265" spans="1:3" x14ac:dyDescent="0.25">
      <c r="A10265" s="12" t="str">
        <f>("57-24045")</f>
        <v>57-24045</v>
      </c>
      <c r="B10265" s="15" t="s">
        <v>14248</v>
      </c>
      <c r="C10265" s="32">
        <v>1147.5</v>
      </c>
    </row>
    <row r="10266" spans="1:3" x14ac:dyDescent="0.25">
      <c r="A10266" s="12" t="str">
        <f>("57-24055")</f>
        <v>57-24055</v>
      </c>
      <c r="B10266" s="15" t="s">
        <v>14659</v>
      </c>
      <c r="C10266" s="32">
        <v>1147.5</v>
      </c>
    </row>
    <row r="10267" spans="1:3" x14ac:dyDescent="0.25">
      <c r="A10267" s="12" t="str">
        <f>("57-24065")</f>
        <v>57-24065</v>
      </c>
      <c r="B10267" s="15" t="s">
        <v>14660</v>
      </c>
      <c r="C10267" s="32">
        <v>1147.5</v>
      </c>
    </row>
    <row r="10268" spans="1:3" x14ac:dyDescent="0.25">
      <c r="A10268" s="12" t="str">
        <f>("57-24075")</f>
        <v>57-24075</v>
      </c>
      <c r="B10268" s="15" t="s">
        <v>14168</v>
      </c>
      <c r="C10268" s="32">
        <v>1147.5</v>
      </c>
    </row>
    <row r="10269" spans="1:3" x14ac:dyDescent="0.25">
      <c r="A10269" s="12" t="str">
        <f>("57-24085")</f>
        <v>57-24085</v>
      </c>
      <c r="B10269" s="15" t="s">
        <v>14661</v>
      </c>
      <c r="C10269" s="32">
        <v>1147.5</v>
      </c>
    </row>
    <row r="10270" spans="1:3" x14ac:dyDescent="0.25">
      <c r="A10270" s="12" t="str">
        <f>("57-24095")</f>
        <v>57-24095</v>
      </c>
      <c r="B10270" s="15" t="s">
        <v>14346</v>
      </c>
      <c r="C10270" s="32">
        <v>1147.5</v>
      </c>
    </row>
    <row r="10271" spans="1:3" x14ac:dyDescent="0.25">
      <c r="A10271" s="12" t="str">
        <f>("57-24105")</f>
        <v>57-24105</v>
      </c>
      <c r="B10271" s="15" t="s">
        <v>14638</v>
      </c>
      <c r="C10271" s="32">
        <v>931.25</v>
      </c>
    </row>
    <row r="10272" spans="1:3" x14ac:dyDescent="0.25">
      <c r="A10272" s="12" t="str">
        <f>("57-24125")</f>
        <v>57-24125</v>
      </c>
      <c r="B10272" s="15" t="s">
        <v>14662</v>
      </c>
      <c r="C10272" s="32">
        <v>1147.5</v>
      </c>
    </row>
    <row r="10273" spans="1:3" x14ac:dyDescent="0.25">
      <c r="A10273" s="12" t="str">
        <f>("57-924105")</f>
        <v>57-924105</v>
      </c>
      <c r="B10273" s="15" t="s">
        <v>14638</v>
      </c>
      <c r="C10273" s="32">
        <v>1700</v>
      </c>
    </row>
    <row r="10274" spans="1:3" x14ac:dyDescent="0.25">
      <c r="A10274" s="12" t="str">
        <f>("55-32375")</f>
        <v>55-32375</v>
      </c>
      <c r="B10274" s="15" t="s">
        <v>13724</v>
      </c>
      <c r="C10274" s="32">
        <v>1150</v>
      </c>
    </row>
    <row r="10275" spans="1:3" x14ac:dyDescent="0.25">
      <c r="A10275" s="12" t="str">
        <f>("55-32775")</f>
        <v>55-32775</v>
      </c>
      <c r="B10275" s="15" t="s">
        <v>13713</v>
      </c>
      <c r="C10275" s="32">
        <v>1150</v>
      </c>
    </row>
    <row r="10276" spans="1:3" x14ac:dyDescent="0.25">
      <c r="A10276" s="12" t="str">
        <f>("55-32785")</f>
        <v>55-32785</v>
      </c>
      <c r="B10276" s="15" t="s">
        <v>13714</v>
      </c>
      <c r="C10276" s="32">
        <v>1150</v>
      </c>
    </row>
    <row r="10277" spans="1:3" ht="31.5" x14ac:dyDescent="0.25">
      <c r="A10277" s="12" t="str">
        <f>("55-33565")</f>
        <v>55-33565</v>
      </c>
      <c r="B10277" s="15" t="s">
        <v>14663</v>
      </c>
      <c r="C10277" s="32">
        <v>1150</v>
      </c>
    </row>
    <row r="10278" spans="1:3" x14ac:dyDescent="0.25">
      <c r="A10278" s="12" t="str">
        <f>("55-34015")</f>
        <v>55-34015</v>
      </c>
      <c r="B10278" s="15" t="s">
        <v>13725</v>
      </c>
      <c r="C10278" s="32">
        <v>1150</v>
      </c>
    </row>
    <row r="10279" spans="1:3" x14ac:dyDescent="0.25">
      <c r="A10279" s="12" t="str">
        <f>("55-34085")</f>
        <v>55-34085</v>
      </c>
      <c r="B10279" s="15" t="s">
        <v>14664</v>
      </c>
      <c r="C10279" s="32">
        <v>1150</v>
      </c>
    </row>
    <row r="10280" spans="1:3" ht="31.5" x14ac:dyDescent="0.25">
      <c r="A10280" s="12" t="str">
        <f>("55-34125")</f>
        <v>55-34125</v>
      </c>
      <c r="B10280" s="15" t="s">
        <v>13729</v>
      </c>
      <c r="C10280" s="32">
        <v>1150</v>
      </c>
    </row>
    <row r="10281" spans="1:3" ht="31.5" x14ac:dyDescent="0.25">
      <c r="A10281" s="12" t="str">
        <f>("55-34135")</f>
        <v>55-34135</v>
      </c>
      <c r="B10281" s="15" t="s">
        <v>13730</v>
      </c>
      <c r="C10281" s="32">
        <v>1150</v>
      </c>
    </row>
    <row r="10282" spans="1:3" x14ac:dyDescent="0.25">
      <c r="A10282" s="12" t="str">
        <f>("55-34155")</f>
        <v>55-34155</v>
      </c>
      <c r="B10282" s="15" t="s">
        <v>14665</v>
      </c>
      <c r="C10282" s="32">
        <v>1150</v>
      </c>
    </row>
    <row r="10283" spans="1:3" x14ac:dyDescent="0.25">
      <c r="A10283" s="12" t="str">
        <f>("55-34165")</f>
        <v>55-34165</v>
      </c>
      <c r="B10283" s="15" t="s">
        <v>14666</v>
      </c>
      <c r="C10283" s="32">
        <v>1150</v>
      </c>
    </row>
    <row r="10284" spans="1:3" x14ac:dyDescent="0.25">
      <c r="A10284" s="12" t="str">
        <f>("55-34235")</f>
        <v>55-34235</v>
      </c>
      <c r="B10284" s="15" t="s">
        <v>13735</v>
      </c>
      <c r="C10284" s="32">
        <v>1150</v>
      </c>
    </row>
    <row r="10285" spans="1:3" x14ac:dyDescent="0.25">
      <c r="A10285" s="12" t="str">
        <f>("57-8095")</f>
        <v>57-8095</v>
      </c>
      <c r="B10285" s="15" t="s">
        <v>14667</v>
      </c>
      <c r="C10285" s="32">
        <v>55</v>
      </c>
    </row>
    <row r="10286" spans="1:3" x14ac:dyDescent="0.25">
      <c r="A10286" s="12" t="str">
        <f>("57-8003")</f>
        <v>57-8003</v>
      </c>
      <c r="B10286" s="15" t="s">
        <v>14668</v>
      </c>
      <c r="C10286" s="32">
        <v>746.25</v>
      </c>
    </row>
    <row r="10287" spans="1:3" x14ac:dyDescent="0.25">
      <c r="A10287" s="12" t="str">
        <f>("57-8005")</f>
        <v>57-8005</v>
      </c>
      <c r="B10287" s="15" t="s">
        <v>14668</v>
      </c>
      <c r="C10287" s="32">
        <v>746.25</v>
      </c>
    </row>
    <row r="10288" spans="1:3" ht="47.25" x14ac:dyDescent="0.25">
      <c r="A10288" s="12" t="str">
        <f>("57-8023")</f>
        <v>57-8023</v>
      </c>
      <c r="B10288" s="15" t="s">
        <v>14669</v>
      </c>
      <c r="C10288" s="32">
        <v>746.25</v>
      </c>
    </row>
    <row r="10289" spans="1:3" ht="47.25" x14ac:dyDescent="0.25">
      <c r="A10289" s="12" t="str">
        <f>("57-8025")</f>
        <v>57-8025</v>
      </c>
      <c r="B10289" s="15" t="s">
        <v>14670</v>
      </c>
      <c r="C10289" s="32">
        <v>746.25</v>
      </c>
    </row>
    <row r="10290" spans="1:3" x14ac:dyDescent="0.25">
      <c r="A10290" s="12" t="str">
        <f>("57-8033")</f>
        <v>57-8033</v>
      </c>
      <c r="B10290" s="15" t="s">
        <v>14671</v>
      </c>
      <c r="C10290" s="32">
        <v>746.25</v>
      </c>
    </row>
    <row r="10291" spans="1:3" x14ac:dyDescent="0.25">
      <c r="A10291" s="12" t="str">
        <f>("57-8035")</f>
        <v>57-8035</v>
      </c>
      <c r="B10291" s="15" t="s">
        <v>14671</v>
      </c>
      <c r="C10291" s="32">
        <v>746.25</v>
      </c>
    </row>
    <row r="10292" spans="1:3" x14ac:dyDescent="0.25">
      <c r="A10292" s="12" t="str">
        <f>("57-81005")</f>
        <v>57-81005</v>
      </c>
      <c r="B10292" s="15" t="s">
        <v>14672</v>
      </c>
      <c r="C10292" s="32">
        <v>975</v>
      </c>
    </row>
    <row r="10293" spans="1:3" ht="47.25" x14ac:dyDescent="0.25">
      <c r="A10293" s="12" t="str">
        <f>("57-81005A")</f>
        <v>57-81005A</v>
      </c>
      <c r="B10293" s="15" t="s">
        <v>14673</v>
      </c>
      <c r="C10293" s="32">
        <v>745</v>
      </c>
    </row>
    <row r="10294" spans="1:3" x14ac:dyDescent="0.25">
      <c r="A10294" s="12" t="str">
        <f>("57-81005B")</f>
        <v>57-81005B</v>
      </c>
      <c r="B10294" s="15" t="s">
        <v>14672</v>
      </c>
      <c r="C10294" s="32">
        <v>231.25</v>
      </c>
    </row>
    <row r="10295" spans="1:3" x14ac:dyDescent="0.25">
      <c r="A10295" s="12" t="str">
        <f>("57-81025")</f>
        <v>57-81025</v>
      </c>
      <c r="B10295" s="15" t="s">
        <v>14674</v>
      </c>
      <c r="C10295" s="32">
        <v>975</v>
      </c>
    </row>
    <row r="10296" spans="1:3" x14ac:dyDescent="0.25">
      <c r="A10296" s="12" t="str">
        <f>("57-81025B")</f>
        <v>57-81025B</v>
      </c>
      <c r="B10296" s="15" t="s">
        <v>14675</v>
      </c>
      <c r="C10296" s="32">
        <v>231.25</v>
      </c>
    </row>
    <row r="10297" spans="1:3" x14ac:dyDescent="0.25">
      <c r="A10297" s="12" t="str">
        <f>("57-81035")</f>
        <v>57-81035</v>
      </c>
      <c r="B10297" s="15" t="s">
        <v>14676</v>
      </c>
      <c r="C10297" s="32">
        <v>975</v>
      </c>
    </row>
    <row r="10298" spans="1:3" x14ac:dyDescent="0.25">
      <c r="A10298" s="12" t="str">
        <f>("57-81035B")</f>
        <v>57-81035B</v>
      </c>
      <c r="B10298" s="15" t="s">
        <v>14677</v>
      </c>
      <c r="C10298" s="32">
        <v>231.25</v>
      </c>
    </row>
    <row r="10299" spans="1:3" x14ac:dyDescent="0.25">
      <c r="A10299" s="12" t="str">
        <f>("57-81045")</f>
        <v>57-81045</v>
      </c>
      <c r="B10299" s="15" t="s">
        <v>14678</v>
      </c>
      <c r="C10299" s="32">
        <v>975</v>
      </c>
    </row>
    <row r="10300" spans="1:3" x14ac:dyDescent="0.25">
      <c r="A10300" s="12" t="str">
        <f>("57-81045A")</f>
        <v>57-81045A</v>
      </c>
      <c r="B10300" s="15" t="s">
        <v>14679</v>
      </c>
      <c r="C10300" s="32">
        <v>745</v>
      </c>
    </row>
    <row r="10301" spans="1:3" x14ac:dyDescent="0.25">
      <c r="A10301" s="12" t="str">
        <f>("57-81045B")</f>
        <v>57-81045B</v>
      </c>
      <c r="B10301" s="15" t="s">
        <v>14680</v>
      </c>
      <c r="C10301" s="32">
        <v>231.25</v>
      </c>
    </row>
    <row r="10302" spans="1:3" x14ac:dyDescent="0.25">
      <c r="A10302" s="12" t="str">
        <f>("57-81055")</f>
        <v>57-81055</v>
      </c>
      <c r="B10302" s="15" t="s">
        <v>14681</v>
      </c>
      <c r="C10302" s="32">
        <v>975</v>
      </c>
    </row>
    <row r="10303" spans="1:3" x14ac:dyDescent="0.25">
      <c r="A10303" s="12" t="str">
        <f>("57-81055B")</f>
        <v>57-81055B</v>
      </c>
      <c r="B10303" s="15" t="s">
        <v>14682</v>
      </c>
      <c r="C10303" s="32">
        <v>231.25</v>
      </c>
    </row>
    <row r="10304" spans="1:3" x14ac:dyDescent="0.25">
      <c r="A10304" s="12" t="str">
        <f>("57-81065")</f>
        <v>57-81065</v>
      </c>
      <c r="B10304" s="15" t="s">
        <v>14683</v>
      </c>
      <c r="C10304" s="32">
        <v>975</v>
      </c>
    </row>
    <row r="10305" spans="1:3" x14ac:dyDescent="0.25">
      <c r="A10305" s="12" t="str">
        <f>("57-81065A")</f>
        <v>57-81065A</v>
      </c>
      <c r="B10305" s="15" t="s">
        <v>14683</v>
      </c>
      <c r="C10305" s="32">
        <v>745</v>
      </c>
    </row>
    <row r="10306" spans="1:3" x14ac:dyDescent="0.25">
      <c r="A10306" s="12" t="str">
        <f>("57-81065B")</f>
        <v>57-81065B</v>
      </c>
      <c r="B10306" s="15" t="s">
        <v>14683</v>
      </c>
      <c r="C10306" s="32">
        <v>231.25</v>
      </c>
    </row>
    <row r="10307" spans="1:3" x14ac:dyDescent="0.25">
      <c r="A10307" s="12" t="str">
        <f>("57-81075")</f>
        <v>57-81075</v>
      </c>
      <c r="B10307" s="15" t="s">
        <v>14234</v>
      </c>
      <c r="C10307" s="32">
        <v>975</v>
      </c>
    </row>
    <row r="10308" spans="1:3" x14ac:dyDescent="0.25">
      <c r="A10308" s="12" t="str">
        <f>("57-81075B")</f>
        <v>57-81075B</v>
      </c>
      <c r="B10308" s="15" t="s">
        <v>14234</v>
      </c>
      <c r="C10308" s="32">
        <v>231.25</v>
      </c>
    </row>
    <row r="10309" spans="1:3" x14ac:dyDescent="0.25">
      <c r="A10309" s="12" t="str">
        <f>("57-81085")</f>
        <v>57-81085</v>
      </c>
      <c r="B10309" s="15" t="s">
        <v>14684</v>
      </c>
      <c r="C10309" s="32">
        <v>975</v>
      </c>
    </row>
    <row r="10310" spans="1:3" x14ac:dyDescent="0.25">
      <c r="A10310" s="12" t="str">
        <f>("57-81085B")</f>
        <v>57-81085B</v>
      </c>
      <c r="B10310" s="15" t="s">
        <v>14685</v>
      </c>
      <c r="C10310" s="32">
        <v>231.25</v>
      </c>
    </row>
    <row r="10311" spans="1:3" x14ac:dyDescent="0.25">
      <c r="A10311" s="12" t="str">
        <f>("57-81095")</f>
        <v>57-81095</v>
      </c>
      <c r="B10311" s="15" t="s">
        <v>14686</v>
      </c>
      <c r="C10311" s="32">
        <v>975</v>
      </c>
    </row>
    <row r="10312" spans="1:3" x14ac:dyDescent="0.25">
      <c r="A10312" s="12" t="str">
        <f>("57-81095A")</f>
        <v>57-81095A</v>
      </c>
      <c r="B10312" s="15" t="s">
        <v>14687</v>
      </c>
      <c r="C10312" s="32">
        <v>745</v>
      </c>
    </row>
    <row r="10313" spans="1:3" x14ac:dyDescent="0.25">
      <c r="A10313" s="12" t="str">
        <f>("57-81095B")</f>
        <v>57-81095B</v>
      </c>
      <c r="B10313" s="15" t="s">
        <v>14688</v>
      </c>
      <c r="C10313" s="32">
        <v>231.25</v>
      </c>
    </row>
    <row r="10314" spans="1:3" x14ac:dyDescent="0.25">
      <c r="A10314" s="12" t="str">
        <f>("57-81135")</f>
        <v>57-81135</v>
      </c>
      <c r="B10314" s="15" t="s">
        <v>14689</v>
      </c>
      <c r="C10314" s="32">
        <v>975</v>
      </c>
    </row>
    <row r="10315" spans="1:3" x14ac:dyDescent="0.25">
      <c r="A10315" s="12" t="str">
        <f>("57-81135B")</f>
        <v>57-81135B</v>
      </c>
      <c r="B10315" s="15" t="s">
        <v>14690</v>
      </c>
      <c r="C10315" s="32">
        <v>231.25</v>
      </c>
    </row>
    <row r="10316" spans="1:3" x14ac:dyDescent="0.25">
      <c r="A10316" s="12" t="str">
        <f>("57-82785")</f>
        <v>57-82785</v>
      </c>
      <c r="B10316" s="15" t="s">
        <v>14345</v>
      </c>
      <c r="C10316" s="32">
        <v>975</v>
      </c>
    </row>
    <row r="10317" spans="1:3" x14ac:dyDescent="0.25">
      <c r="A10317" s="12" t="str">
        <f>("57-89005")</f>
        <v>57-89005</v>
      </c>
      <c r="B10317" s="15" t="s">
        <v>14691</v>
      </c>
      <c r="C10317" s="32">
        <v>46.25</v>
      </c>
    </row>
    <row r="10318" spans="1:3" x14ac:dyDescent="0.25">
      <c r="A10318" s="12" t="str">
        <f>("57-89015")</f>
        <v>57-89015</v>
      </c>
      <c r="B10318" s="15" t="s">
        <v>14691</v>
      </c>
      <c r="C10318" s="32">
        <v>55</v>
      </c>
    </row>
    <row r="10319" spans="1:3" x14ac:dyDescent="0.25">
      <c r="A10319" s="12" t="str">
        <f>("57-89035")</f>
        <v>57-89035</v>
      </c>
      <c r="B10319" s="15" t="s">
        <v>14691</v>
      </c>
      <c r="C10319" s="32">
        <v>73.75</v>
      </c>
    </row>
    <row r="10320" spans="1:3" x14ac:dyDescent="0.25">
      <c r="A10320" s="12" t="str">
        <f>("57-89045")</f>
        <v>57-89045</v>
      </c>
      <c r="B10320" s="15" t="s">
        <v>14691</v>
      </c>
      <c r="C10320" s="32">
        <v>43.75</v>
      </c>
    </row>
    <row r="10321" spans="1:3" x14ac:dyDescent="0.25">
      <c r="A10321" s="12" t="str">
        <f>("57-89055")</f>
        <v>57-89055</v>
      </c>
      <c r="B10321" s="15" t="s">
        <v>14691</v>
      </c>
      <c r="C10321" s="32">
        <v>58.75</v>
      </c>
    </row>
    <row r="10322" spans="1:3" x14ac:dyDescent="0.25">
      <c r="A10322" s="12" t="str">
        <f>("57-89065")</f>
        <v>57-89065</v>
      </c>
      <c r="B10322" s="15" t="s">
        <v>14691</v>
      </c>
      <c r="C10322" s="32">
        <v>73.75</v>
      </c>
    </row>
    <row r="10323" spans="1:3" x14ac:dyDescent="0.25">
      <c r="A10323" s="12" t="str">
        <f>("57-89075")</f>
        <v>57-89075</v>
      </c>
      <c r="B10323" s="15" t="s">
        <v>14691</v>
      </c>
      <c r="C10323" s="32">
        <v>41.25</v>
      </c>
    </row>
    <row r="10324" spans="1:3" x14ac:dyDescent="0.25">
      <c r="A10324" s="12" t="str">
        <f>("57-9005")</f>
        <v>57-9005</v>
      </c>
      <c r="B10324" s="15" t="s">
        <v>14692</v>
      </c>
      <c r="C10324" s="32">
        <v>307.5</v>
      </c>
    </row>
    <row r="10325" spans="1:3" x14ac:dyDescent="0.25">
      <c r="A10325" s="12" t="str">
        <f>("57-9015")</f>
        <v>57-9015</v>
      </c>
      <c r="B10325" s="15" t="s">
        <v>14693</v>
      </c>
      <c r="C10325" s="32">
        <v>568.75</v>
      </c>
    </row>
    <row r="10326" spans="1:3" x14ac:dyDescent="0.25">
      <c r="A10326" s="12" t="str">
        <f>("57-92275")</f>
        <v>57-92275</v>
      </c>
      <c r="B10326" s="15" t="s">
        <v>14609</v>
      </c>
      <c r="C10326" s="32">
        <v>2045</v>
      </c>
    </row>
    <row r="10327" spans="1:3" x14ac:dyDescent="0.25">
      <c r="A10327" s="12" t="str">
        <f>("57-92275A")</f>
        <v>57-92275A</v>
      </c>
      <c r="B10327" s="15" t="s">
        <v>14609</v>
      </c>
      <c r="C10327" s="32">
        <v>1577.5</v>
      </c>
    </row>
    <row r="10328" spans="1:3" x14ac:dyDescent="0.25">
      <c r="A10328" s="12" t="str">
        <f>("57-92375")</f>
        <v>57-92375</v>
      </c>
      <c r="B10328" s="15" t="s">
        <v>14694</v>
      </c>
      <c r="C10328" s="32">
        <v>1992.5</v>
      </c>
    </row>
    <row r="10329" spans="1:3" x14ac:dyDescent="0.25">
      <c r="A10329" s="12" t="str">
        <f>("57-92375A")</f>
        <v>57-92375A</v>
      </c>
      <c r="B10329" s="15" t="s">
        <v>14694</v>
      </c>
      <c r="C10329" s="32">
        <v>1223.75</v>
      </c>
    </row>
    <row r="10330" spans="1:3" x14ac:dyDescent="0.25">
      <c r="A10330" s="12" t="str">
        <f>("57-92505")</f>
        <v>57-92505</v>
      </c>
      <c r="B10330" s="15" t="s">
        <v>14157</v>
      </c>
      <c r="C10330" s="32">
        <v>2027.5</v>
      </c>
    </row>
    <row r="10331" spans="1:3" x14ac:dyDescent="0.25">
      <c r="A10331" s="12" t="str">
        <f>("57-92505A")</f>
        <v>57-92505A</v>
      </c>
      <c r="B10331" s="15" t="s">
        <v>14695</v>
      </c>
      <c r="C10331" s="32">
        <v>1450</v>
      </c>
    </row>
    <row r="10332" spans="1:3" x14ac:dyDescent="0.25">
      <c r="A10332" s="12" t="str">
        <f>("57-93545")</f>
        <v>57-93545</v>
      </c>
      <c r="B10332" s="15" t="s">
        <v>14163</v>
      </c>
      <c r="C10332" s="32">
        <v>1992.5</v>
      </c>
    </row>
    <row r="10333" spans="1:3" x14ac:dyDescent="0.25">
      <c r="A10333" s="12" t="str">
        <f>("57-93545A")</f>
        <v>57-93545A</v>
      </c>
      <c r="B10333" s="15" t="s">
        <v>14696</v>
      </c>
      <c r="C10333" s="32">
        <v>1223.75</v>
      </c>
    </row>
    <row r="10334" spans="1:3" x14ac:dyDescent="0.25">
      <c r="A10334" s="12" t="str">
        <f>("57-93555")</f>
        <v>57-93555</v>
      </c>
      <c r="B10334" s="15" t="s">
        <v>14235</v>
      </c>
      <c r="C10334" s="32">
        <v>2035</v>
      </c>
    </row>
    <row r="10335" spans="1:3" x14ac:dyDescent="0.25">
      <c r="A10335" s="12" t="str">
        <f>("57-93555A")</f>
        <v>57-93555A</v>
      </c>
      <c r="B10335" s="15" t="s">
        <v>14235</v>
      </c>
      <c r="C10335" s="32">
        <v>1506.25</v>
      </c>
    </row>
    <row r="10336" spans="1:3" x14ac:dyDescent="0.25">
      <c r="A10336" s="12" t="str">
        <f>("57-93685")</f>
        <v>57-93685</v>
      </c>
      <c r="B10336" s="15" t="s">
        <v>14618</v>
      </c>
      <c r="C10336" s="32">
        <v>2035</v>
      </c>
    </row>
    <row r="10337" spans="1:3" x14ac:dyDescent="0.25">
      <c r="A10337" s="12" t="str">
        <f>("57-93685A")</f>
        <v>57-93685A</v>
      </c>
      <c r="B10337" s="15" t="s">
        <v>14618</v>
      </c>
      <c r="C10337" s="32">
        <v>1506.25</v>
      </c>
    </row>
    <row r="10338" spans="1:3" x14ac:dyDescent="0.25">
      <c r="A10338" s="12" t="str">
        <f>("57-93705")</f>
        <v>57-93705</v>
      </c>
      <c r="B10338" s="15" t="s">
        <v>14217</v>
      </c>
      <c r="C10338" s="32">
        <v>2027.5</v>
      </c>
    </row>
    <row r="10339" spans="1:3" x14ac:dyDescent="0.25">
      <c r="A10339" s="12" t="str">
        <f>("57-93705A")</f>
        <v>57-93705A</v>
      </c>
      <c r="B10339" s="15" t="s">
        <v>14217</v>
      </c>
      <c r="C10339" s="32">
        <v>1450</v>
      </c>
    </row>
    <row r="10340" spans="1:3" x14ac:dyDescent="0.25">
      <c r="A10340" s="12" t="str">
        <f>("57-93785")</f>
        <v>57-93785</v>
      </c>
      <c r="B10340" s="15" t="s">
        <v>14240</v>
      </c>
      <c r="C10340" s="32">
        <v>2027.5</v>
      </c>
    </row>
    <row r="10341" spans="1:3" x14ac:dyDescent="0.25">
      <c r="A10341" s="12" t="str">
        <f>("57-93785A")</f>
        <v>57-93785A</v>
      </c>
      <c r="B10341" s="15" t="s">
        <v>14240</v>
      </c>
      <c r="C10341" s="32">
        <v>1450</v>
      </c>
    </row>
    <row r="10342" spans="1:3" x14ac:dyDescent="0.25">
      <c r="A10342" s="12" t="str">
        <f>("57-93805")</f>
        <v>57-93805</v>
      </c>
      <c r="B10342" s="15" t="s">
        <v>14205</v>
      </c>
      <c r="C10342" s="32">
        <v>1696.25</v>
      </c>
    </row>
    <row r="10343" spans="1:3" x14ac:dyDescent="0.25">
      <c r="A10343" s="12" t="str">
        <f>("57-93805A")</f>
        <v>57-93805A</v>
      </c>
      <c r="B10343" s="15" t="s">
        <v>14205</v>
      </c>
      <c r="C10343" s="32">
        <v>1223.75</v>
      </c>
    </row>
    <row r="10344" spans="1:3" x14ac:dyDescent="0.25">
      <c r="A10344" s="12" t="str">
        <f>("57-93835")</f>
        <v>57-93835</v>
      </c>
      <c r="B10344" s="15" t="s">
        <v>14207</v>
      </c>
      <c r="C10344" s="32">
        <v>2027.5</v>
      </c>
    </row>
    <row r="10345" spans="1:3" x14ac:dyDescent="0.25">
      <c r="A10345" s="12" t="str">
        <f>("57-93835A")</f>
        <v>57-93835A</v>
      </c>
      <c r="B10345" s="15" t="s">
        <v>14697</v>
      </c>
      <c r="C10345" s="32">
        <v>1450</v>
      </c>
    </row>
    <row r="10346" spans="1:3" x14ac:dyDescent="0.25">
      <c r="A10346" s="12" t="str">
        <f>("57-93875")</f>
        <v>57-93875</v>
      </c>
      <c r="B10346" s="15" t="s">
        <v>14177</v>
      </c>
      <c r="C10346" s="32">
        <v>2027.5</v>
      </c>
    </row>
    <row r="10347" spans="1:3" x14ac:dyDescent="0.25">
      <c r="A10347" s="12" t="str">
        <f>("57-93875A")</f>
        <v>57-93875A</v>
      </c>
      <c r="B10347" s="15" t="s">
        <v>14177</v>
      </c>
      <c r="C10347" s="32">
        <v>1450</v>
      </c>
    </row>
    <row r="10348" spans="1:3" x14ac:dyDescent="0.25">
      <c r="A10348" s="12" t="str">
        <f>("57-93905")</f>
        <v>57-93905</v>
      </c>
      <c r="B10348" s="15" t="s">
        <v>14698</v>
      </c>
      <c r="C10348" s="32">
        <v>1992.5</v>
      </c>
    </row>
    <row r="10349" spans="1:3" x14ac:dyDescent="0.25">
      <c r="A10349" s="12" t="str">
        <f>("57-93905A")</f>
        <v>57-93905A</v>
      </c>
      <c r="B10349" s="15" t="s">
        <v>14698</v>
      </c>
      <c r="C10349" s="32">
        <v>1223.75</v>
      </c>
    </row>
    <row r="10350" spans="1:3" x14ac:dyDescent="0.25">
      <c r="A10350" s="12" t="str">
        <f>("57-93955")</f>
        <v>57-93955</v>
      </c>
      <c r="B10350" s="15" t="s">
        <v>14699</v>
      </c>
      <c r="C10350" s="32">
        <v>2027.5</v>
      </c>
    </row>
    <row r="10351" spans="1:3" x14ac:dyDescent="0.25">
      <c r="A10351" s="12" t="str">
        <f>("57-93955A")</f>
        <v>57-93955A</v>
      </c>
      <c r="B10351" s="15" t="s">
        <v>14700</v>
      </c>
      <c r="C10351" s="32">
        <v>1450</v>
      </c>
    </row>
    <row r="10352" spans="1:3" x14ac:dyDescent="0.25">
      <c r="A10352" s="12" t="str">
        <f>("57-93975")</f>
        <v>57-93975</v>
      </c>
      <c r="B10352" s="15" t="s">
        <v>14701</v>
      </c>
      <c r="C10352" s="32">
        <v>1992.5</v>
      </c>
    </row>
    <row r="10353" spans="1:3" x14ac:dyDescent="0.25">
      <c r="A10353" s="12" t="str">
        <f>("57-93975A")</f>
        <v>57-93975A</v>
      </c>
      <c r="B10353" s="15" t="s">
        <v>14702</v>
      </c>
      <c r="C10353" s="32">
        <v>1223.75</v>
      </c>
    </row>
    <row r="10354" spans="1:3" x14ac:dyDescent="0.25">
      <c r="A10354" s="12" t="str">
        <f>("57-93995")</f>
        <v>57-93995</v>
      </c>
      <c r="B10354" s="15" t="s">
        <v>14167</v>
      </c>
      <c r="C10354" s="32">
        <v>2027.5</v>
      </c>
    </row>
    <row r="10355" spans="1:3" x14ac:dyDescent="0.25">
      <c r="A10355" s="12" t="str">
        <f>("57-93995A")</f>
        <v>57-93995A</v>
      </c>
      <c r="B10355" s="15" t="s">
        <v>14703</v>
      </c>
      <c r="C10355" s="32">
        <v>1450</v>
      </c>
    </row>
    <row r="10356" spans="1:3" x14ac:dyDescent="0.25">
      <c r="A10356" s="12" t="str">
        <f>("57-94015")</f>
        <v>57-94015</v>
      </c>
      <c r="B10356" s="15" t="s">
        <v>14704</v>
      </c>
      <c r="C10356" s="32">
        <v>1992.5</v>
      </c>
    </row>
    <row r="10357" spans="1:3" x14ac:dyDescent="0.25">
      <c r="A10357" s="12" t="str">
        <f>("57-94015A")</f>
        <v>57-94015A</v>
      </c>
      <c r="B10357" s="15" t="s">
        <v>14704</v>
      </c>
      <c r="C10357" s="32">
        <v>1223.75</v>
      </c>
    </row>
    <row r="10358" spans="1:3" x14ac:dyDescent="0.25">
      <c r="A10358" s="12" t="str">
        <f>("57-94025")</f>
        <v>57-94025</v>
      </c>
      <c r="B10358" s="15" t="s">
        <v>14222</v>
      </c>
      <c r="C10358" s="32">
        <v>2035</v>
      </c>
    </row>
    <row r="10359" spans="1:3" x14ac:dyDescent="0.25">
      <c r="A10359" s="12" t="str">
        <f>("57-94025A")</f>
        <v>57-94025A</v>
      </c>
      <c r="B10359" s="15" t="s">
        <v>14705</v>
      </c>
      <c r="C10359" s="32">
        <v>1506.25</v>
      </c>
    </row>
    <row r="10360" spans="1:3" x14ac:dyDescent="0.25">
      <c r="A10360" s="12" t="str">
        <f>("57-94045")</f>
        <v>57-94045</v>
      </c>
      <c r="B10360" s="15" t="s">
        <v>14248</v>
      </c>
      <c r="C10360" s="32">
        <v>1992.5</v>
      </c>
    </row>
    <row r="10361" spans="1:3" x14ac:dyDescent="0.25">
      <c r="A10361" s="12" t="str">
        <f>("57-94045A")</f>
        <v>57-94045A</v>
      </c>
      <c r="B10361" s="15" t="s">
        <v>14706</v>
      </c>
      <c r="C10361" s="32">
        <v>1223.75</v>
      </c>
    </row>
    <row r="10362" spans="1:3" x14ac:dyDescent="0.25">
      <c r="A10362" s="12" t="str">
        <f>("57-94065")</f>
        <v>57-94065</v>
      </c>
      <c r="B10362" s="15" t="s">
        <v>14707</v>
      </c>
      <c r="C10362" s="32">
        <v>2027.5</v>
      </c>
    </row>
    <row r="10363" spans="1:3" x14ac:dyDescent="0.25">
      <c r="A10363" s="12" t="str">
        <f>("57-94065A")</f>
        <v>57-94065A</v>
      </c>
      <c r="B10363" s="15" t="s">
        <v>14708</v>
      </c>
      <c r="C10363" s="32">
        <v>1450</v>
      </c>
    </row>
    <row r="10364" spans="1:3" x14ac:dyDescent="0.25">
      <c r="A10364" s="12" t="str">
        <f>("57-94105")</f>
        <v>57-94105</v>
      </c>
      <c r="B10364" s="15" t="s">
        <v>14638</v>
      </c>
      <c r="C10364" s="32">
        <v>1992.5</v>
      </c>
    </row>
    <row r="10365" spans="1:3" x14ac:dyDescent="0.25">
      <c r="A10365" s="12" t="str">
        <f>("58-31105")</f>
        <v>58-31105</v>
      </c>
      <c r="B10365" s="15" t="s">
        <v>14709</v>
      </c>
      <c r="C10365" s="32">
        <v>2665</v>
      </c>
    </row>
    <row r="10366" spans="1:3" x14ac:dyDescent="0.25">
      <c r="A10366" s="12" t="str">
        <f>("58-31115")</f>
        <v>58-31115</v>
      </c>
      <c r="B10366" s="15" t="s">
        <v>14694</v>
      </c>
      <c r="C10366" s="32">
        <v>2665</v>
      </c>
    </row>
    <row r="10367" spans="1:3" x14ac:dyDescent="0.25">
      <c r="A10367" s="12" t="str">
        <f>("58-311205")</f>
        <v>58-311205</v>
      </c>
      <c r="B10367" s="15" t="s">
        <v>14638</v>
      </c>
      <c r="C10367" s="32">
        <v>2665</v>
      </c>
    </row>
    <row r="10368" spans="1:3" x14ac:dyDescent="0.25">
      <c r="A10368" s="12" t="str">
        <f>("58-31125")</f>
        <v>58-31125</v>
      </c>
      <c r="B10368" s="15" t="s">
        <v>14162</v>
      </c>
      <c r="C10368" s="32">
        <v>2665</v>
      </c>
    </row>
    <row r="10369" spans="1:3" x14ac:dyDescent="0.25">
      <c r="A10369" s="12" t="str">
        <f>("58-31135")</f>
        <v>58-31135</v>
      </c>
      <c r="B10369" s="15" t="s">
        <v>14710</v>
      </c>
      <c r="C10369" s="32">
        <v>2665</v>
      </c>
    </row>
    <row r="10370" spans="1:3" x14ac:dyDescent="0.25">
      <c r="A10370" s="12" t="str">
        <f>("58-31145")</f>
        <v>58-31145</v>
      </c>
      <c r="B10370" s="15" t="s">
        <v>14711</v>
      </c>
      <c r="C10370" s="32">
        <v>2665</v>
      </c>
    </row>
    <row r="10371" spans="1:3" x14ac:dyDescent="0.25">
      <c r="A10371" s="12" t="str">
        <f>("58-31155")</f>
        <v>58-31155</v>
      </c>
      <c r="B10371" s="15" t="s">
        <v>14240</v>
      </c>
      <c r="C10371" s="32">
        <v>2665</v>
      </c>
    </row>
    <row r="10372" spans="1:3" x14ac:dyDescent="0.25">
      <c r="A10372" s="12" t="str">
        <f>("58-31175")</f>
        <v>58-31175</v>
      </c>
      <c r="B10372" s="15" t="s">
        <v>14235</v>
      </c>
      <c r="C10372" s="32">
        <v>2665</v>
      </c>
    </row>
    <row r="10373" spans="1:3" x14ac:dyDescent="0.25">
      <c r="A10373" s="12" t="str">
        <f>("58-31185")</f>
        <v>58-31185</v>
      </c>
      <c r="B10373" s="15" t="s">
        <v>14712</v>
      </c>
      <c r="C10373" s="32">
        <v>2665</v>
      </c>
    </row>
    <row r="10374" spans="1:3" x14ac:dyDescent="0.25">
      <c r="A10374" s="12" t="str">
        <f>("58-31195")</f>
        <v>58-31195</v>
      </c>
      <c r="B10374" s="15" t="s">
        <v>14149</v>
      </c>
      <c r="C10374" s="32">
        <v>2665</v>
      </c>
    </row>
    <row r="10375" spans="1:3" x14ac:dyDescent="0.25">
      <c r="A10375" s="12" t="str">
        <f>("58-31215")</f>
        <v>58-31215</v>
      </c>
      <c r="B10375" s="15" t="s">
        <v>14713</v>
      </c>
      <c r="C10375" s="32">
        <v>2665</v>
      </c>
    </row>
    <row r="10376" spans="1:3" x14ac:dyDescent="0.25">
      <c r="A10376" s="12" t="str">
        <f>("58-341105")</f>
        <v>58-341105</v>
      </c>
      <c r="B10376" s="15" t="s">
        <v>14207</v>
      </c>
      <c r="C10376" s="32">
        <v>1171.25</v>
      </c>
    </row>
    <row r="10377" spans="1:3" x14ac:dyDescent="0.25">
      <c r="A10377" s="12" t="str">
        <f>("58-341115")</f>
        <v>58-341115</v>
      </c>
      <c r="B10377" s="15" t="s">
        <v>14694</v>
      </c>
      <c r="C10377" s="32">
        <v>1171.25</v>
      </c>
    </row>
    <row r="10378" spans="1:3" x14ac:dyDescent="0.25">
      <c r="A10378" s="12" t="str">
        <f>("58-341125")</f>
        <v>58-341125</v>
      </c>
      <c r="B10378" s="15" t="s">
        <v>14162</v>
      </c>
      <c r="C10378" s="32">
        <v>1171.25</v>
      </c>
    </row>
    <row r="10379" spans="1:3" x14ac:dyDescent="0.25">
      <c r="A10379" s="12" t="str">
        <f>("58-341155")</f>
        <v>58-341155</v>
      </c>
      <c r="B10379" s="15" t="s">
        <v>14714</v>
      </c>
      <c r="C10379" s="32">
        <v>1171.25</v>
      </c>
    </row>
    <row r="10380" spans="1:3" x14ac:dyDescent="0.25">
      <c r="A10380" s="12" t="str">
        <f>("58-341175")</f>
        <v>58-341175</v>
      </c>
      <c r="B10380" s="15" t="s">
        <v>14715</v>
      </c>
      <c r="C10380" s="32">
        <v>1171.25</v>
      </c>
    </row>
    <row r="10381" spans="1:3" x14ac:dyDescent="0.25">
      <c r="A10381" s="12" t="str">
        <f>("58-341185")</f>
        <v>58-341185</v>
      </c>
      <c r="B10381" s="15" t="s">
        <v>14716</v>
      </c>
      <c r="C10381" s="32">
        <v>1171.25</v>
      </c>
    </row>
    <row r="10382" spans="1:3" x14ac:dyDescent="0.25">
      <c r="A10382" s="12" t="str">
        <f>("58-341205")</f>
        <v>58-341205</v>
      </c>
      <c r="B10382" s="15" t="s">
        <v>14638</v>
      </c>
      <c r="C10382" s="32">
        <v>1171.25</v>
      </c>
    </row>
    <row r="10383" spans="1:3" x14ac:dyDescent="0.25">
      <c r="A10383" s="12" t="str">
        <f>("58-41005")</f>
        <v>58-41005</v>
      </c>
      <c r="B10383" s="15" t="s">
        <v>14717</v>
      </c>
      <c r="C10383" s="32">
        <v>1561.25</v>
      </c>
    </row>
    <row r="10384" spans="1:3" x14ac:dyDescent="0.25">
      <c r="A10384" s="12" t="str">
        <f>("58-41025")</f>
        <v>58-41025</v>
      </c>
      <c r="B10384" s="15" t="s">
        <v>14718</v>
      </c>
      <c r="C10384" s="32">
        <v>1561.25</v>
      </c>
    </row>
    <row r="10385" spans="1:3" x14ac:dyDescent="0.25">
      <c r="A10385" s="12" t="str">
        <f>("58-41035")</f>
        <v>58-41035</v>
      </c>
      <c r="B10385" s="15" t="s">
        <v>14217</v>
      </c>
      <c r="C10385" s="32">
        <v>1561.25</v>
      </c>
    </row>
    <row r="10386" spans="1:3" x14ac:dyDescent="0.25">
      <c r="A10386" s="12" t="str">
        <f>("58-41045")</f>
        <v>58-41045</v>
      </c>
      <c r="B10386" s="15" t="s">
        <v>14165</v>
      </c>
      <c r="C10386" s="32">
        <v>1561.25</v>
      </c>
    </row>
    <row r="10387" spans="1:3" x14ac:dyDescent="0.25">
      <c r="A10387" s="12" t="str">
        <f>("58-41055")</f>
        <v>58-41055</v>
      </c>
      <c r="B10387" s="15" t="s">
        <v>14719</v>
      </c>
      <c r="C10387" s="32">
        <v>1561.25</v>
      </c>
    </row>
    <row r="10388" spans="1:3" x14ac:dyDescent="0.25">
      <c r="A10388" s="12" t="str">
        <f>("58-41065")</f>
        <v>58-41065</v>
      </c>
      <c r="B10388" s="15" t="s">
        <v>14720</v>
      </c>
      <c r="C10388" s="32">
        <v>1561.25</v>
      </c>
    </row>
    <row r="10389" spans="1:3" x14ac:dyDescent="0.25">
      <c r="A10389" s="12" t="str">
        <f>("58-41075")</f>
        <v>58-41075</v>
      </c>
      <c r="B10389" s="15" t="s">
        <v>14210</v>
      </c>
      <c r="C10389" s="32">
        <v>1561.25</v>
      </c>
    </row>
    <row r="10390" spans="1:3" x14ac:dyDescent="0.25">
      <c r="A10390" s="12" t="str">
        <f>("58-41085")</f>
        <v>58-41085</v>
      </c>
      <c r="B10390" s="15" t="s">
        <v>14148</v>
      </c>
      <c r="C10390" s="32">
        <v>1561.25</v>
      </c>
    </row>
    <row r="10391" spans="1:3" x14ac:dyDescent="0.25">
      <c r="A10391" s="12" t="str">
        <f>("58-41165")</f>
        <v>58-41165</v>
      </c>
      <c r="B10391" s="15" t="s">
        <v>14240</v>
      </c>
      <c r="C10391" s="32">
        <v>1561.25</v>
      </c>
    </row>
    <row r="10392" spans="1:3" x14ac:dyDescent="0.25">
      <c r="A10392" s="12" t="str">
        <f>("58-41175")</f>
        <v>58-41175</v>
      </c>
      <c r="B10392" s="15" t="s">
        <v>14162</v>
      </c>
      <c r="C10392" s="32">
        <v>1561.25</v>
      </c>
    </row>
    <row r="10393" spans="1:3" x14ac:dyDescent="0.25">
      <c r="A10393" s="12" t="str">
        <f>("58-41195")</f>
        <v>58-41195</v>
      </c>
      <c r="B10393" s="15" t="s">
        <v>14158</v>
      </c>
      <c r="C10393" s="32">
        <v>1561.25</v>
      </c>
    </row>
    <row r="10394" spans="1:3" x14ac:dyDescent="0.25">
      <c r="A10394" s="12" t="str">
        <f>("58-41205")</f>
        <v>58-41205</v>
      </c>
      <c r="B10394" s="15" t="s">
        <v>14156</v>
      </c>
      <c r="C10394" s="32">
        <v>1561.25</v>
      </c>
    </row>
    <row r="10395" spans="1:3" x14ac:dyDescent="0.25">
      <c r="A10395" s="12" t="str">
        <f>("58-41215")</f>
        <v>58-41215</v>
      </c>
      <c r="B10395" s="15" t="s">
        <v>14721</v>
      </c>
      <c r="C10395" s="32">
        <v>1561.25</v>
      </c>
    </row>
    <row r="10396" spans="1:3" x14ac:dyDescent="0.25">
      <c r="A10396" s="12" t="str">
        <f>("58-41225")</f>
        <v>58-41225</v>
      </c>
      <c r="B10396" s="15" t="s">
        <v>14712</v>
      </c>
      <c r="C10396" s="32">
        <v>1561.25</v>
      </c>
    </row>
    <row r="10397" spans="1:3" x14ac:dyDescent="0.25">
      <c r="A10397" s="12" t="str">
        <f>("58-41235")</f>
        <v>58-41235</v>
      </c>
      <c r="B10397" s="15" t="s">
        <v>14149</v>
      </c>
      <c r="C10397" s="32">
        <v>1561.25</v>
      </c>
    </row>
    <row r="10398" spans="1:3" x14ac:dyDescent="0.25">
      <c r="A10398" s="12" t="str">
        <f>("58-41245")</f>
        <v>58-41245</v>
      </c>
      <c r="B10398" s="15" t="s">
        <v>14722</v>
      </c>
      <c r="C10398" s="32">
        <v>1561.25</v>
      </c>
    </row>
    <row r="10399" spans="1:3" x14ac:dyDescent="0.25">
      <c r="A10399" s="12" t="str">
        <f>("58-41255")</f>
        <v>58-41255</v>
      </c>
      <c r="B10399" s="15" t="s">
        <v>14178</v>
      </c>
      <c r="C10399" s="32">
        <v>1561.25</v>
      </c>
    </row>
    <row r="10400" spans="1:3" ht="31.5" x14ac:dyDescent="0.25">
      <c r="A10400" s="12" t="str">
        <f>("58-53715")</f>
        <v>58-53715</v>
      </c>
      <c r="B10400" s="15" t="s">
        <v>14723</v>
      </c>
      <c r="C10400" s="32">
        <v>810</v>
      </c>
    </row>
    <row r="10401" spans="1:3" x14ac:dyDescent="0.25">
      <c r="A10401" s="12" t="str">
        <f>("58-62025")</f>
        <v>58-62025</v>
      </c>
      <c r="B10401" s="15" t="s">
        <v>14724</v>
      </c>
      <c r="C10401" s="32">
        <v>1638.75</v>
      </c>
    </row>
    <row r="10402" spans="1:3" x14ac:dyDescent="0.25">
      <c r="A10402" s="12" t="str">
        <f>("58-71005")</f>
        <v>58-71005</v>
      </c>
      <c r="B10402" s="15" t="s">
        <v>14177</v>
      </c>
      <c r="C10402" s="32">
        <v>408.75</v>
      </c>
    </row>
    <row r="10403" spans="1:3" x14ac:dyDescent="0.25">
      <c r="A10403" s="12" t="str">
        <f>("58-71015")</f>
        <v>58-71015</v>
      </c>
      <c r="B10403" s="15" t="s">
        <v>14725</v>
      </c>
      <c r="C10403" s="32">
        <v>408.75</v>
      </c>
    </row>
    <row r="10404" spans="1:3" x14ac:dyDescent="0.25">
      <c r="A10404" s="12" t="str">
        <f>("58-71025")</f>
        <v>58-71025</v>
      </c>
      <c r="B10404" s="15" t="s">
        <v>14726</v>
      </c>
      <c r="C10404" s="32">
        <v>408.75</v>
      </c>
    </row>
    <row r="10405" spans="1:3" x14ac:dyDescent="0.25">
      <c r="A10405" s="12" t="str">
        <f>("58-71085")</f>
        <v>58-71085</v>
      </c>
      <c r="B10405" s="15" t="s">
        <v>14148</v>
      </c>
      <c r="C10405" s="32">
        <v>426.25</v>
      </c>
    </row>
    <row r="10406" spans="1:3" x14ac:dyDescent="0.25">
      <c r="A10406" s="12" t="str">
        <f>("58-71155")</f>
        <v>58-71155</v>
      </c>
      <c r="B10406" s="15" t="s">
        <v>14625</v>
      </c>
      <c r="C10406" s="32">
        <v>388.75</v>
      </c>
    </row>
    <row r="10407" spans="1:3" x14ac:dyDescent="0.25">
      <c r="A10407" s="12" t="str">
        <f>("58-71165")</f>
        <v>58-71165</v>
      </c>
      <c r="B10407" s="15" t="s">
        <v>14240</v>
      </c>
      <c r="C10407" s="32">
        <v>388.75</v>
      </c>
    </row>
    <row r="10408" spans="1:3" x14ac:dyDescent="0.25">
      <c r="A10408" s="12" t="str">
        <f>("58-71175")</f>
        <v>58-71175</v>
      </c>
      <c r="B10408" s="15" t="s">
        <v>14162</v>
      </c>
      <c r="C10408" s="32">
        <v>388.75</v>
      </c>
    </row>
    <row r="10409" spans="1:3" x14ac:dyDescent="0.25">
      <c r="A10409" s="12" t="str">
        <f>("58-71185")</f>
        <v>58-71185</v>
      </c>
      <c r="B10409" s="15" t="s">
        <v>14147</v>
      </c>
      <c r="C10409" s="32">
        <v>388.75</v>
      </c>
    </row>
    <row r="10410" spans="1:3" x14ac:dyDescent="0.25">
      <c r="A10410" s="12" t="str">
        <f>("58-71205")</f>
        <v>58-71205</v>
      </c>
      <c r="B10410" s="15" t="s">
        <v>14156</v>
      </c>
      <c r="C10410" s="32">
        <v>388.75</v>
      </c>
    </row>
    <row r="10411" spans="1:3" x14ac:dyDescent="0.25">
      <c r="A10411" s="12" t="str">
        <f>("58-71215")</f>
        <v>58-71215</v>
      </c>
      <c r="B10411" s="15" t="s">
        <v>14721</v>
      </c>
      <c r="C10411" s="32">
        <v>426.25</v>
      </c>
    </row>
    <row r="10412" spans="1:3" x14ac:dyDescent="0.25">
      <c r="A10412" s="12" t="str">
        <f>("58-71225")</f>
        <v>58-71225</v>
      </c>
      <c r="B10412" s="15" t="s">
        <v>14712</v>
      </c>
      <c r="C10412" s="32">
        <v>388.75</v>
      </c>
    </row>
    <row r="10413" spans="1:3" x14ac:dyDescent="0.25">
      <c r="A10413" s="12" t="str">
        <f>("58-71235")</f>
        <v>58-71235</v>
      </c>
      <c r="B10413" s="15" t="s">
        <v>14149</v>
      </c>
      <c r="C10413" s="32">
        <v>388.75</v>
      </c>
    </row>
    <row r="10414" spans="1:3" x14ac:dyDescent="0.25">
      <c r="A10414" s="12" t="str">
        <f>("58-72005")</f>
        <v>58-72005</v>
      </c>
      <c r="B10414" s="15" t="s">
        <v>14165</v>
      </c>
      <c r="C10414" s="32">
        <v>388.75</v>
      </c>
    </row>
    <row r="10415" spans="1:3" x14ac:dyDescent="0.25">
      <c r="A10415" s="12" t="str">
        <f>("58-72015")</f>
        <v>58-72015</v>
      </c>
      <c r="B10415" s="15" t="s">
        <v>14217</v>
      </c>
      <c r="C10415" s="32">
        <v>388.75</v>
      </c>
    </row>
    <row r="10416" spans="1:3" x14ac:dyDescent="0.25">
      <c r="A10416" s="12" t="str">
        <f>("58-81075")</f>
        <v>58-81075</v>
      </c>
      <c r="B10416" s="15" t="s">
        <v>14684</v>
      </c>
      <c r="C10416" s="32">
        <v>1433.75</v>
      </c>
    </row>
    <row r="10417" spans="1:3" ht="15.75" customHeight="1" x14ac:dyDescent="0.25">
      <c r="A10417" s="12" t="str">
        <f>("58-81215H")</f>
        <v>58-81215H</v>
      </c>
      <c r="B10417" s="15" t="s">
        <v>14727</v>
      </c>
      <c r="C10417" s="32">
        <v>510</v>
      </c>
    </row>
    <row r="10418" spans="1:3" x14ac:dyDescent="0.25">
      <c r="A10418" s="12" t="str">
        <f>("58-82025")</f>
        <v>58-82025</v>
      </c>
      <c r="B10418" s="15" t="s">
        <v>14724</v>
      </c>
      <c r="C10418" s="32">
        <v>1433.75</v>
      </c>
    </row>
    <row r="10419" spans="1:3" x14ac:dyDescent="0.25">
      <c r="A10419" s="12" t="str">
        <f>("58-9905")</f>
        <v>58-9905</v>
      </c>
      <c r="B10419" s="15" t="s">
        <v>14728</v>
      </c>
      <c r="C10419" s="32">
        <v>585</v>
      </c>
    </row>
    <row r="10420" spans="1:3" x14ac:dyDescent="0.25">
      <c r="A10420" s="12" t="str">
        <f>("58-9915")</f>
        <v>58-9915</v>
      </c>
      <c r="B10420" s="15" t="s">
        <v>14729</v>
      </c>
      <c r="C10420" s="32">
        <v>585</v>
      </c>
    </row>
    <row r="10421" spans="1:3" x14ac:dyDescent="0.25">
      <c r="A10421" s="12" t="str">
        <f>("58-311045")</f>
        <v>58-311045</v>
      </c>
      <c r="B10421" s="15" t="s">
        <v>14165</v>
      </c>
      <c r="C10421" s="32">
        <v>1196.25</v>
      </c>
    </row>
    <row r="10422" spans="1:3" x14ac:dyDescent="0.25">
      <c r="A10422" s="12" t="str">
        <f>("58-311295")</f>
        <v>58-311295</v>
      </c>
      <c r="B10422" s="15" t="s">
        <v>14730</v>
      </c>
      <c r="C10422" s="32">
        <v>1421.25</v>
      </c>
    </row>
    <row r="10423" spans="1:3" x14ac:dyDescent="0.25">
      <c r="A10423" s="12" t="str">
        <f>("58-411005")</f>
        <v>58-411005</v>
      </c>
      <c r="B10423" s="15" t="s">
        <v>14177</v>
      </c>
      <c r="C10423" s="32">
        <v>2173.75</v>
      </c>
    </row>
    <row r="10424" spans="1:3" x14ac:dyDescent="0.25">
      <c r="A10424" s="12" t="str">
        <f>("58-411035")</f>
        <v>58-411035</v>
      </c>
      <c r="B10424" s="15" t="s">
        <v>14217</v>
      </c>
      <c r="C10424" s="32">
        <v>2242.5</v>
      </c>
    </row>
    <row r="10425" spans="1:3" x14ac:dyDescent="0.25">
      <c r="A10425" s="12" t="str">
        <f>("58-411045")</f>
        <v>58-411045</v>
      </c>
      <c r="B10425" s="15" t="s">
        <v>14165</v>
      </c>
      <c r="C10425" s="32">
        <v>2173.75</v>
      </c>
    </row>
    <row r="10426" spans="1:3" x14ac:dyDescent="0.25">
      <c r="A10426" s="12" t="str">
        <f>("58-411065")</f>
        <v>58-411065</v>
      </c>
      <c r="B10426" s="15" t="s">
        <v>14731</v>
      </c>
      <c r="C10426" s="32">
        <v>2173.75</v>
      </c>
    </row>
    <row r="10427" spans="1:3" x14ac:dyDescent="0.25">
      <c r="A10427" s="12" t="str">
        <f>("58-411075")</f>
        <v>58-411075</v>
      </c>
      <c r="B10427" s="15" t="s">
        <v>14732</v>
      </c>
      <c r="C10427" s="32">
        <v>2173.75</v>
      </c>
    </row>
    <row r="10428" spans="1:3" x14ac:dyDescent="0.25">
      <c r="A10428" s="12" t="str">
        <f>("58-411155")</f>
        <v>58-411155</v>
      </c>
      <c r="B10428" s="15" t="s">
        <v>14206</v>
      </c>
      <c r="C10428" s="32">
        <v>1195</v>
      </c>
    </row>
    <row r="10429" spans="1:3" x14ac:dyDescent="0.25">
      <c r="A10429" s="12" t="str">
        <f>("58-411155AB")</f>
        <v>58-411155AB</v>
      </c>
      <c r="B10429" s="15" t="s">
        <v>14733</v>
      </c>
      <c r="C10429" s="32">
        <v>118.75</v>
      </c>
    </row>
    <row r="10430" spans="1:3" x14ac:dyDescent="0.25">
      <c r="A10430" s="12" t="str">
        <f>("58-411155ABK")</f>
        <v>58-411155ABK</v>
      </c>
      <c r="B10430" s="15" t="s">
        <v>14733</v>
      </c>
      <c r="C10430" s="32">
        <v>1313.75</v>
      </c>
    </row>
    <row r="10431" spans="1:3" x14ac:dyDescent="0.25">
      <c r="A10431" s="12" t="str">
        <f>("58-411155RB")</f>
        <v>58-411155RB</v>
      </c>
      <c r="B10431" s="15" t="s">
        <v>14733</v>
      </c>
      <c r="C10431" s="32">
        <v>118.75</v>
      </c>
    </row>
    <row r="10432" spans="1:3" x14ac:dyDescent="0.25">
      <c r="A10432" s="12" t="str">
        <f>("58-411155RBK")</f>
        <v>58-411155RBK</v>
      </c>
      <c r="B10432" s="15" t="s">
        <v>14733</v>
      </c>
      <c r="C10432" s="32">
        <v>1313.75</v>
      </c>
    </row>
    <row r="10433" spans="1:3" x14ac:dyDescent="0.25">
      <c r="A10433" s="12" t="str">
        <f>("58-411165")</f>
        <v>58-411165</v>
      </c>
      <c r="B10433" s="15" t="s">
        <v>14240</v>
      </c>
      <c r="C10433" s="32">
        <v>2242.5</v>
      </c>
    </row>
    <row r="10434" spans="1:3" x14ac:dyDescent="0.25">
      <c r="A10434" s="12" t="str">
        <f>("58-411175")</f>
        <v>58-411175</v>
      </c>
      <c r="B10434" s="15" t="s">
        <v>14162</v>
      </c>
      <c r="C10434" s="32">
        <v>2173.75</v>
      </c>
    </row>
    <row r="10435" spans="1:3" x14ac:dyDescent="0.25">
      <c r="A10435" s="12" t="str">
        <f>("58-411195")</f>
        <v>58-411195</v>
      </c>
      <c r="B10435" s="15" t="s">
        <v>14734</v>
      </c>
      <c r="C10435" s="32">
        <v>2173.75</v>
      </c>
    </row>
    <row r="10436" spans="1:3" x14ac:dyDescent="0.25">
      <c r="A10436" s="12" t="str">
        <f>("58-411215")</f>
        <v>58-411215</v>
      </c>
      <c r="B10436" s="15" t="s">
        <v>14735</v>
      </c>
      <c r="C10436" s="32">
        <v>2173.75</v>
      </c>
    </row>
    <row r="10437" spans="1:3" x14ac:dyDescent="0.25">
      <c r="A10437" s="12" t="str">
        <f>("58-411225")</f>
        <v>58-411225</v>
      </c>
      <c r="B10437" s="15" t="s">
        <v>14712</v>
      </c>
      <c r="C10437" s="32">
        <v>2173.75</v>
      </c>
    </row>
    <row r="10438" spans="1:3" x14ac:dyDescent="0.25">
      <c r="A10438" s="12" t="str">
        <f>("58-411235")</f>
        <v>58-411235</v>
      </c>
      <c r="B10438" s="15" t="s">
        <v>14149</v>
      </c>
      <c r="C10438" s="32">
        <v>2242.5</v>
      </c>
    </row>
    <row r="10439" spans="1:3" x14ac:dyDescent="0.25">
      <c r="A10439" s="12" t="str">
        <f>("58-411245")</f>
        <v>58-411245</v>
      </c>
      <c r="B10439" s="15" t="s">
        <v>14722</v>
      </c>
      <c r="C10439" s="32">
        <v>2173.75</v>
      </c>
    </row>
    <row r="10440" spans="1:3" x14ac:dyDescent="0.25">
      <c r="A10440" s="12" t="str">
        <f>("58-411285")</f>
        <v>58-411285</v>
      </c>
      <c r="B10440" s="15" t="s">
        <v>14346</v>
      </c>
      <c r="C10440" s="32">
        <v>1421.25</v>
      </c>
    </row>
    <row r="10441" spans="1:3" x14ac:dyDescent="0.25">
      <c r="A10441" s="12" t="str">
        <f>("58-411295")</f>
        <v>58-411295</v>
      </c>
      <c r="B10441" s="15" t="s">
        <v>14736</v>
      </c>
      <c r="C10441" s="32">
        <v>1196.25</v>
      </c>
    </row>
    <row r="10442" spans="1:3" x14ac:dyDescent="0.25">
      <c r="A10442" s="12" t="str">
        <f>("58-411305")</f>
        <v>58-411305</v>
      </c>
      <c r="B10442" s="15" t="s">
        <v>14638</v>
      </c>
      <c r="C10442" s="32">
        <v>2173.75</v>
      </c>
    </row>
    <row r="10443" spans="1:3" x14ac:dyDescent="0.25">
      <c r="A10443" s="12" t="str">
        <f>("58-411315")</f>
        <v>58-411315</v>
      </c>
      <c r="B10443" s="15" t="s">
        <v>14737</v>
      </c>
      <c r="C10443" s="32">
        <v>2173.75</v>
      </c>
    </row>
    <row r="10444" spans="1:3" x14ac:dyDescent="0.25">
      <c r="A10444" s="12" t="str">
        <f>("58-412785")</f>
        <v>58-412785</v>
      </c>
      <c r="B10444" s="15" t="s">
        <v>14738</v>
      </c>
      <c r="C10444" s="32">
        <v>1196.25</v>
      </c>
    </row>
    <row r="10445" spans="1:3" x14ac:dyDescent="0.25">
      <c r="A10445" s="12" t="str">
        <f>("58-414215")</f>
        <v>58-414215</v>
      </c>
      <c r="B10445" s="15" t="s">
        <v>14713</v>
      </c>
      <c r="C10445" s="32">
        <v>2173.75</v>
      </c>
    </row>
    <row r="10446" spans="1:3" x14ac:dyDescent="0.25">
      <c r="A10446" s="12" t="str">
        <f>("58-416095")</f>
        <v>58-416095</v>
      </c>
      <c r="B10446" s="15" t="s">
        <v>14739</v>
      </c>
      <c r="C10446" s="32">
        <v>3592.5</v>
      </c>
    </row>
    <row r="10447" spans="1:3" x14ac:dyDescent="0.25">
      <c r="A10447" s="12" t="str">
        <f>("58-420055")</f>
        <v>58-420055</v>
      </c>
      <c r="B10447" s="15" t="s">
        <v>14178</v>
      </c>
      <c r="C10447" s="32">
        <v>167.5</v>
      </c>
    </row>
    <row r="10448" spans="1:3" x14ac:dyDescent="0.25">
      <c r="A10448" s="12" t="str">
        <f>("58-421005")</f>
        <v>58-421005</v>
      </c>
      <c r="B10448" s="15" t="s">
        <v>14740</v>
      </c>
      <c r="C10448" s="32">
        <v>1672.5</v>
      </c>
    </row>
    <row r="10449" spans="1:3" x14ac:dyDescent="0.25">
      <c r="A10449" s="12" t="str">
        <f>("58-421015")</f>
        <v>58-421015</v>
      </c>
      <c r="B10449" s="15" t="s">
        <v>14741</v>
      </c>
      <c r="C10449" s="32">
        <v>1672.5</v>
      </c>
    </row>
    <row r="10450" spans="1:3" x14ac:dyDescent="0.25">
      <c r="A10450" s="12" t="str">
        <f>("58-421025")</f>
        <v>58-421025</v>
      </c>
      <c r="B10450" s="15" t="s">
        <v>14715</v>
      </c>
      <c r="C10450" s="32">
        <v>1672.5</v>
      </c>
    </row>
    <row r="10451" spans="1:3" x14ac:dyDescent="0.25">
      <c r="A10451" s="12" t="str">
        <f>("58-421035")</f>
        <v>58-421035</v>
      </c>
      <c r="B10451" s="15" t="s">
        <v>14742</v>
      </c>
      <c r="C10451" s="32">
        <v>1626.25</v>
      </c>
    </row>
    <row r="10452" spans="1:3" x14ac:dyDescent="0.25">
      <c r="A10452" s="12" t="str">
        <f>("58-421045")</f>
        <v>58-421045</v>
      </c>
      <c r="B10452" s="15" t="s">
        <v>14743</v>
      </c>
      <c r="C10452" s="32">
        <v>1672.5</v>
      </c>
    </row>
    <row r="10453" spans="1:3" x14ac:dyDescent="0.25">
      <c r="A10453" s="12" t="str">
        <f>("58-421055")</f>
        <v>58-421055</v>
      </c>
      <c r="B10453" s="15" t="s">
        <v>14744</v>
      </c>
      <c r="C10453" s="32">
        <v>1626.25</v>
      </c>
    </row>
    <row r="10454" spans="1:3" x14ac:dyDescent="0.25">
      <c r="A10454" s="12" t="str">
        <f>("58-421075")</f>
        <v>58-421075</v>
      </c>
      <c r="B10454" s="15" t="s">
        <v>14745</v>
      </c>
      <c r="C10454" s="32">
        <v>1626.25</v>
      </c>
    </row>
    <row r="10455" spans="1:3" x14ac:dyDescent="0.25">
      <c r="A10455" s="12" t="str">
        <f>("58-421175")</f>
        <v>58-421175</v>
      </c>
      <c r="B10455" s="15" t="s">
        <v>14162</v>
      </c>
      <c r="C10455" s="32">
        <v>1672.5</v>
      </c>
    </row>
    <row r="10456" spans="1:3" x14ac:dyDescent="0.25">
      <c r="A10456" s="12" t="str">
        <f>("58-421185")</f>
        <v>58-421185</v>
      </c>
      <c r="B10456" s="15" t="s">
        <v>14346</v>
      </c>
      <c r="C10456" s="32">
        <v>1292.5</v>
      </c>
    </row>
    <row r="10457" spans="1:3" x14ac:dyDescent="0.25">
      <c r="A10457" s="12" t="str">
        <f>("58-421205")</f>
        <v>58-421205</v>
      </c>
      <c r="B10457" s="15" t="s">
        <v>14156</v>
      </c>
      <c r="C10457" s="32">
        <v>1672.5</v>
      </c>
    </row>
    <row r="10458" spans="1:3" x14ac:dyDescent="0.25">
      <c r="A10458" s="12" t="str">
        <f>("58-421215")</f>
        <v>58-421215</v>
      </c>
      <c r="B10458" s="15" t="s">
        <v>14716</v>
      </c>
      <c r="C10458" s="32">
        <v>1672.5</v>
      </c>
    </row>
    <row r="10459" spans="1:3" x14ac:dyDescent="0.25">
      <c r="A10459" s="12" t="str">
        <f>("58-421255")</f>
        <v>58-421255</v>
      </c>
      <c r="B10459" s="15" t="s">
        <v>14178</v>
      </c>
      <c r="C10459" s="32">
        <v>1626.25</v>
      </c>
    </row>
    <row r="10460" spans="1:3" x14ac:dyDescent="0.25">
      <c r="A10460" s="12" t="str">
        <f>("58-421275")</f>
        <v>58-421275</v>
      </c>
      <c r="B10460" s="15" t="s">
        <v>14638</v>
      </c>
      <c r="C10460" s="32">
        <v>1672.5</v>
      </c>
    </row>
    <row r="10461" spans="1:3" x14ac:dyDescent="0.25">
      <c r="A10461" s="12" t="str">
        <f>("58-422785")</f>
        <v>58-422785</v>
      </c>
      <c r="B10461" s="15" t="s">
        <v>14738</v>
      </c>
      <c r="C10461" s="32">
        <v>1671.25</v>
      </c>
    </row>
    <row r="10462" spans="1:3" x14ac:dyDescent="0.25">
      <c r="A10462" s="12" t="str">
        <f>("58-426095")</f>
        <v>58-426095</v>
      </c>
      <c r="B10462" s="15" t="s">
        <v>14739</v>
      </c>
      <c r="C10462" s="32">
        <v>2155</v>
      </c>
    </row>
    <row r="10463" spans="1:3" x14ac:dyDescent="0.25">
      <c r="A10463" s="12" t="str">
        <f>("59-711195")</f>
        <v>59-711195</v>
      </c>
      <c r="B10463" s="15" t="s">
        <v>14746</v>
      </c>
      <c r="C10463" s="32">
        <v>1150</v>
      </c>
    </row>
    <row r="10464" spans="1:3" x14ac:dyDescent="0.25">
      <c r="A10464" s="12" t="str">
        <f>("59-712255")</f>
        <v>59-712255</v>
      </c>
      <c r="B10464" s="15" t="s">
        <v>14178</v>
      </c>
      <c r="C10464" s="32">
        <v>1150</v>
      </c>
    </row>
    <row r="10465" spans="1:3" x14ac:dyDescent="0.25">
      <c r="A10465" s="12" t="str">
        <f>("59-721295")</f>
        <v>59-721295</v>
      </c>
      <c r="B10465" s="15" t="s">
        <v>14730</v>
      </c>
      <c r="C10465" s="32">
        <v>142.5</v>
      </c>
    </row>
    <row r="10466" spans="1:3" x14ac:dyDescent="0.25">
      <c r="A10466" s="12" t="str">
        <f>("59-722255")</f>
        <v>59-722255</v>
      </c>
      <c r="B10466" s="15" t="s">
        <v>14747</v>
      </c>
      <c r="C10466" s="32">
        <v>862.5</v>
      </c>
    </row>
    <row r="10467" spans="1:3" x14ac:dyDescent="0.25">
      <c r="A10467" s="12" t="str">
        <f>("59-732255")</f>
        <v>59-732255</v>
      </c>
      <c r="B10467" s="15" t="s">
        <v>14747</v>
      </c>
      <c r="C10467" s="32">
        <v>862.5</v>
      </c>
    </row>
    <row r="10468" spans="1:3" x14ac:dyDescent="0.25">
      <c r="A10468" s="12" t="str">
        <f>("59-741195")</f>
        <v>59-741195</v>
      </c>
      <c r="B10468" s="15" t="s">
        <v>14746</v>
      </c>
      <c r="C10468" s="32">
        <v>352.5</v>
      </c>
    </row>
    <row r="10469" spans="1:3" x14ac:dyDescent="0.25">
      <c r="A10469" s="12" t="str">
        <f>("59-761205")</f>
        <v>59-761205</v>
      </c>
      <c r="B10469" s="15" t="s">
        <v>14227</v>
      </c>
      <c r="C10469" s="32">
        <v>142.5</v>
      </c>
    </row>
    <row r="10470" spans="1:3" x14ac:dyDescent="0.25">
      <c r="A10470" s="12" t="str">
        <f>("59-80005-SP")</f>
        <v>59-80005-SP</v>
      </c>
      <c r="B10470" s="15" t="s">
        <v>13704</v>
      </c>
      <c r="C10470" s="32">
        <v>203.75</v>
      </c>
    </row>
    <row r="10471" spans="1:3" x14ac:dyDescent="0.25">
      <c r="A10471" s="12" t="str">
        <f>("59-80035")</f>
        <v>59-80035</v>
      </c>
      <c r="B10471" s="15" t="s">
        <v>13704</v>
      </c>
      <c r="C10471" s="32">
        <v>1228.75</v>
      </c>
    </row>
    <row r="10472" spans="1:3" x14ac:dyDescent="0.25">
      <c r="A10472" s="12" t="str">
        <f>("59-80045")</f>
        <v>59-80045</v>
      </c>
      <c r="B10472" s="15" t="s">
        <v>13704</v>
      </c>
      <c r="C10472" s="32">
        <v>1433.75</v>
      </c>
    </row>
    <row r="10473" spans="1:3" x14ac:dyDescent="0.25">
      <c r="A10473" s="12" t="str">
        <f>("59-80055")</f>
        <v>59-80055</v>
      </c>
      <c r="B10473" s="15" t="s">
        <v>13704</v>
      </c>
      <c r="C10473" s="32">
        <v>1433.75</v>
      </c>
    </row>
    <row r="10474" spans="1:3" x14ac:dyDescent="0.25">
      <c r="A10474" s="12" t="str">
        <f>("59-80065")</f>
        <v>59-80065</v>
      </c>
      <c r="B10474" s="15" t="s">
        <v>14365</v>
      </c>
      <c r="C10474" s="32">
        <v>1023.75</v>
      </c>
    </row>
    <row r="10475" spans="1:3" x14ac:dyDescent="0.25">
      <c r="A10475" s="12" t="str">
        <f>("59-80075")</f>
        <v>59-80075</v>
      </c>
      <c r="B10475" s="15" t="s">
        <v>14365</v>
      </c>
      <c r="C10475" s="32">
        <v>1228.75</v>
      </c>
    </row>
    <row r="10476" spans="1:3" x14ac:dyDescent="0.25">
      <c r="A10476" s="12" t="str">
        <f>("59-80085")</f>
        <v>59-80085</v>
      </c>
      <c r="B10476" s="15" t="s">
        <v>14365</v>
      </c>
      <c r="C10476" s="32">
        <v>1228.75</v>
      </c>
    </row>
    <row r="10477" spans="1:3" x14ac:dyDescent="0.25">
      <c r="A10477" s="12" t="str">
        <f>("59-80095")</f>
        <v>59-80095</v>
      </c>
      <c r="B10477" s="15" t="s">
        <v>14365</v>
      </c>
      <c r="C10477" s="32">
        <v>203.75</v>
      </c>
    </row>
    <row r="10478" spans="1:3" x14ac:dyDescent="0.25">
      <c r="A10478" s="12" t="str">
        <f>("59-80105")</f>
        <v>59-80105</v>
      </c>
      <c r="B10478" s="15" t="s">
        <v>14365</v>
      </c>
      <c r="C10478" s="32">
        <v>1228.75</v>
      </c>
    </row>
    <row r="10479" spans="1:3" x14ac:dyDescent="0.25">
      <c r="A10479" s="12" t="str">
        <f>("59-80115")</f>
        <v>59-80115</v>
      </c>
      <c r="B10479" s="15" t="s">
        <v>14365</v>
      </c>
      <c r="C10479" s="32">
        <v>1433.75</v>
      </c>
    </row>
    <row r="10480" spans="1:3" x14ac:dyDescent="0.25">
      <c r="A10480" s="12" t="str">
        <f>("59-80125")</f>
        <v>59-80125</v>
      </c>
      <c r="B10480" s="15" t="s">
        <v>14365</v>
      </c>
      <c r="C10480" s="32">
        <v>1433.75</v>
      </c>
    </row>
    <row r="10481" spans="1:3" x14ac:dyDescent="0.25">
      <c r="A10481" s="12" t="str">
        <f>("59-82005")</f>
        <v>59-82005</v>
      </c>
      <c r="B10481" s="15" t="s">
        <v>13704</v>
      </c>
      <c r="C10481" s="32">
        <v>1023.75</v>
      </c>
    </row>
    <row r="10482" spans="1:3" x14ac:dyDescent="0.25">
      <c r="A10482" s="12" t="str">
        <f>("59-82015")</f>
        <v>59-82015</v>
      </c>
      <c r="B10482" s="15" t="s">
        <v>13704</v>
      </c>
      <c r="C10482" s="32">
        <v>2050</v>
      </c>
    </row>
    <row r="10483" spans="1:3" x14ac:dyDescent="0.25">
      <c r="A10483" s="12" t="str">
        <f>("59-82015A")</f>
        <v>59-82015A</v>
      </c>
      <c r="B10483" s="15" t="s">
        <v>14748</v>
      </c>
      <c r="C10483" s="32">
        <v>1073.75</v>
      </c>
    </row>
    <row r="10484" spans="1:3" x14ac:dyDescent="0.25">
      <c r="A10484" s="12" t="str">
        <f>("59-82015B")</f>
        <v>59-82015B</v>
      </c>
      <c r="B10484" s="15" t="s">
        <v>14748</v>
      </c>
      <c r="C10484" s="32">
        <v>975</v>
      </c>
    </row>
    <row r="10485" spans="1:3" x14ac:dyDescent="0.25">
      <c r="A10485" s="12" t="str">
        <f>("59-82025")</f>
        <v>59-82025</v>
      </c>
      <c r="B10485" s="15" t="s">
        <v>14227</v>
      </c>
      <c r="C10485" s="32">
        <v>1023.75</v>
      </c>
    </row>
    <row r="10486" spans="1:3" x14ac:dyDescent="0.25">
      <c r="A10486" s="12" t="str">
        <f>("59-82035")</f>
        <v>59-82035</v>
      </c>
      <c r="B10486" s="15" t="s">
        <v>14227</v>
      </c>
      <c r="C10486" s="32">
        <v>2255</v>
      </c>
    </row>
    <row r="10487" spans="1:3" x14ac:dyDescent="0.25">
      <c r="A10487" s="12" t="str">
        <f>("59-82035A")</f>
        <v>59-82035A</v>
      </c>
      <c r="B10487" s="15" t="s">
        <v>14749</v>
      </c>
      <c r="C10487" s="32">
        <v>1206.25</v>
      </c>
    </row>
    <row r="10488" spans="1:3" x14ac:dyDescent="0.25">
      <c r="A10488" s="12" t="str">
        <f>("59-82035B")</f>
        <v>59-82035B</v>
      </c>
      <c r="B10488" s="15" t="s">
        <v>14749</v>
      </c>
      <c r="C10488" s="32">
        <v>1048.75</v>
      </c>
    </row>
    <row r="10489" spans="1:3" x14ac:dyDescent="0.25">
      <c r="A10489" s="12" t="str">
        <f>("59-82045")</f>
        <v>59-82045</v>
      </c>
      <c r="B10489" s="15" t="s">
        <v>14750</v>
      </c>
      <c r="C10489" s="32">
        <v>1023.75</v>
      </c>
    </row>
    <row r="10490" spans="1:3" x14ac:dyDescent="0.25">
      <c r="A10490" s="12" t="str">
        <f>("59-82055")</f>
        <v>59-82055</v>
      </c>
      <c r="B10490" s="15" t="s">
        <v>14750</v>
      </c>
      <c r="C10490" s="32">
        <v>2255</v>
      </c>
    </row>
    <row r="10491" spans="1:3" x14ac:dyDescent="0.25">
      <c r="A10491" s="12" t="str">
        <f>("59-82055A")</f>
        <v>59-82055A</v>
      </c>
      <c r="B10491" s="15" t="s">
        <v>14751</v>
      </c>
      <c r="C10491" s="32">
        <v>1206.25</v>
      </c>
    </row>
    <row r="10492" spans="1:3" x14ac:dyDescent="0.25">
      <c r="A10492" s="12" t="str">
        <f>("59-82065")</f>
        <v>59-82065</v>
      </c>
      <c r="B10492" s="15" t="s">
        <v>13731</v>
      </c>
      <c r="C10492" s="32">
        <v>1023.75</v>
      </c>
    </row>
    <row r="10493" spans="1:3" x14ac:dyDescent="0.25">
      <c r="A10493" s="12" t="str">
        <f>("59-82075")</f>
        <v>59-82075</v>
      </c>
      <c r="B10493" s="15" t="s">
        <v>14752</v>
      </c>
      <c r="C10493" s="32">
        <v>1023.75</v>
      </c>
    </row>
    <row r="10494" spans="1:3" x14ac:dyDescent="0.25">
      <c r="A10494" s="12" t="str">
        <f>("59-88015")</f>
        <v>59-88015</v>
      </c>
      <c r="B10494" s="15" t="s">
        <v>13703</v>
      </c>
      <c r="C10494" s="32">
        <v>28.75</v>
      </c>
    </row>
    <row r="10495" spans="1:3" x14ac:dyDescent="0.25">
      <c r="A10495" s="12" t="str">
        <f>("59-89005")</f>
        <v>59-89005</v>
      </c>
      <c r="B10495" s="15" t="s">
        <v>14227</v>
      </c>
      <c r="C10495" s="32">
        <v>212.5</v>
      </c>
    </row>
    <row r="10496" spans="1:3" x14ac:dyDescent="0.25">
      <c r="A10496" s="12" t="str">
        <f>("59-89015")</f>
        <v>59-89015</v>
      </c>
      <c r="B10496" s="15" t="s">
        <v>13703</v>
      </c>
      <c r="C10496" s="32">
        <v>115</v>
      </c>
    </row>
    <row r="10497" spans="1:3" x14ac:dyDescent="0.25">
      <c r="A10497" s="12" t="str">
        <f>("59-89025")</f>
        <v>59-89025</v>
      </c>
      <c r="B10497" s="15" t="s">
        <v>13703</v>
      </c>
      <c r="C10497" s="32">
        <v>72.5</v>
      </c>
    </row>
    <row r="10498" spans="1:3" x14ac:dyDescent="0.25">
      <c r="A10498" s="12" t="str">
        <f>("59-89035")</f>
        <v>59-89035</v>
      </c>
      <c r="B10498" s="15" t="s">
        <v>13704</v>
      </c>
      <c r="C10498" s="32">
        <v>67.5</v>
      </c>
    </row>
    <row r="10499" spans="1:3" x14ac:dyDescent="0.25">
      <c r="A10499" s="12" t="str">
        <f>("59-89055")</f>
        <v>59-89055</v>
      </c>
      <c r="B10499" s="15" t="s">
        <v>14369</v>
      </c>
      <c r="C10499" s="32">
        <v>142.5</v>
      </c>
    </row>
    <row r="10500" spans="1:3" x14ac:dyDescent="0.25">
      <c r="A10500" s="12" t="str">
        <f>("62-1005")</f>
        <v>62-1005</v>
      </c>
      <c r="B10500" s="15" t="s">
        <v>13704</v>
      </c>
      <c r="C10500" s="32">
        <v>715</v>
      </c>
    </row>
    <row r="10501" spans="1:3" x14ac:dyDescent="0.25">
      <c r="A10501" s="12" t="str">
        <f>("62-1015")</f>
        <v>62-1015</v>
      </c>
      <c r="B10501" s="15" t="s">
        <v>13704</v>
      </c>
      <c r="C10501" s="32">
        <v>715</v>
      </c>
    </row>
    <row r="10502" spans="1:3" x14ac:dyDescent="0.25">
      <c r="A10502" s="12" t="str">
        <f>("62-1025")</f>
        <v>62-1025</v>
      </c>
      <c r="B10502" s="15" t="s">
        <v>14365</v>
      </c>
      <c r="C10502" s="32">
        <v>818.75</v>
      </c>
    </row>
    <row r="10503" spans="1:3" x14ac:dyDescent="0.25">
      <c r="A10503" s="12" t="str">
        <f>("62-1035")</f>
        <v>62-1035</v>
      </c>
      <c r="B10503" s="15" t="s">
        <v>14227</v>
      </c>
      <c r="C10503" s="32">
        <v>715</v>
      </c>
    </row>
    <row r="10504" spans="1:3" x14ac:dyDescent="0.25">
      <c r="A10504" s="12" t="str">
        <f>("62-1065")</f>
        <v>62-1065</v>
      </c>
      <c r="B10504" s="15" t="s">
        <v>13731</v>
      </c>
      <c r="C10504" s="32">
        <v>715</v>
      </c>
    </row>
    <row r="10505" spans="1:3" x14ac:dyDescent="0.25">
      <c r="A10505" s="12" t="str">
        <f>("62-11005")</f>
        <v>62-11005</v>
      </c>
      <c r="B10505" s="15" t="s">
        <v>13704</v>
      </c>
      <c r="C10505" s="32">
        <v>455</v>
      </c>
    </row>
    <row r="10506" spans="1:3" x14ac:dyDescent="0.25">
      <c r="A10506" s="12" t="str">
        <f>("62-11015")</f>
        <v>62-11015</v>
      </c>
      <c r="B10506" s="15" t="s">
        <v>13704</v>
      </c>
      <c r="C10506" s="32">
        <v>510</v>
      </c>
    </row>
    <row r="10507" spans="1:3" x14ac:dyDescent="0.25">
      <c r="A10507" s="12" t="str">
        <f>("62-11025")</f>
        <v>62-11025</v>
      </c>
      <c r="B10507" s="15" t="s">
        <v>14365</v>
      </c>
      <c r="C10507" s="32">
        <v>532.5</v>
      </c>
    </row>
    <row r="10508" spans="1:3" x14ac:dyDescent="0.25">
      <c r="A10508" s="12" t="str">
        <f>("62-11035")</f>
        <v>62-11035</v>
      </c>
      <c r="B10508" s="15" t="s">
        <v>14227</v>
      </c>
      <c r="C10508" s="32">
        <v>532.5</v>
      </c>
    </row>
    <row r="10509" spans="1:3" x14ac:dyDescent="0.25">
      <c r="A10509" s="12" t="str">
        <f>("72-90152")</f>
        <v>72-90152</v>
      </c>
      <c r="B10509" s="15" t="s">
        <v>14753</v>
      </c>
      <c r="C10509" s="32">
        <v>111.25</v>
      </c>
    </row>
    <row r="10510" spans="1:3" x14ac:dyDescent="0.25">
      <c r="A10510" s="12" t="str">
        <f>("72-91132")</f>
        <v>72-91132</v>
      </c>
      <c r="B10510" s="15" t="s">
        <v>14205</v>
      </c>
      <c r="C10510" s="32">
        <v>111.25</v>
      </c>
    </row>
    <row r="10511" spans="1:3" x14ac:dyDescent="0.25">
      <c r="A10511" s="12" t="str">
        <f>("72-91136")</f>
        <v>72-91136</v>
      </c>
      <c r="B10511" s="15" t="s">
        <v>14754</v>
      </c>
      <c r="C10511" s="32">
        <v>111.25</v>
      </c>
    </row>
    <row r="10512" spans="1:3" x14ac:dyDescent="0.25">
      <c r="A10512" s="12" t="str">
        <f>("72-91138")</f>
        <v>72-91138</v>
      </c>
      <c r="B10512" s="15" t="s">
        <v>14755</v>
      </c>
      <c r="C10512" s="32">
        <v>111.25</v>
      </c>
    </row>
    <row r="10513" spans="1:3" x14ac:dyDescent="0.25">
      <c r="A10513" s="12" t="str">
        <f>("72-91140")</f>
        <v>72-91140</v>
      </c>
      <c r="B10513" s="15" t="s">
        <v>14756</v>
      </c>
      <c r="C10513" s="32">
        <v>111.25</v>
      </c>
    </row>
    <row r="10514" spans="1:3" x14ac:dyDescent="0.25">
      <c r="A10514" s="12" t="str">
        <f>("72-94134")</f>
        <v>72-94134</v>
      </c>
      <c r="B10514" s="15" t="s">
        <v>14757</v>
      </c>
      <c r="C10514" s="32">
        <v>111.25</v>
      </c>
    </row>
    <row r="10515" spans="1:3" x14ac:dyDescent="0.25">
      <c r="A10515" s="12" t="str">
        <f>("72-94136")</f>
        <v>72-94136</v>
      </c>
      <c r="B10515" s="15" t="s">
        <v>14158</v>
      </c>
      <c r="C10515" s="32">
        <v>111.25</v>
      </c>
    </row>
    <row r="10516" spans="1:3" x14ac:dyDescent="0.25">
      <c r="A10516" s="12" t="str">
        <f>("72-94140")</f>
        <v>72-94140</v>
      </c>
      <c r="B10516" s="15" t="s">
        <v>14579</v>
      </c>
      <c r="C10516" s="32">
        <v>111.25</v>
      </c>
    </row>
    <row r="10517" spans="1:3" x14ac:dyDescent="0.25">
      <c r="A10517" s="12" t="str">
        <f>("72-96154")</f>
        <v>72-96154</v>
      </c>
      <c r="B10517" s="15" t="s">
        <v>14164</v>
      </c>
      <c r="C10517" s="32">
        <v>111.25</v>
      </c>
    </row>
    <row r="10518" spans="1:3" x14ac:dyDescent="0.25">
      <c r="A10518" s="12" t="str">
        <f>("72-97160")</f>
        <v>72-97160</v>
      </c>
      <c r="B10518" s="15" t="s">
        <v>14758</v>
      </c>
      <c r="C10518" s="32">
        <v>111.25</v>
      </c>
    </row>
    <row r="10519" spans="1:3" x14ac:dyDescent="0.25">
      <c r="A10519" s="12" t="str">
        <f>("72-97170")</f>
        <v>72-97170</v>
      </c>
      <c r="B10519" s="15" t="s">
        <v>14165</v>
      </c>
      <c r="C10519" s="32">
        <v>111.25</v>
      </c>
    </row>
    <row r="10520" spans="1:3" x14ac:dyDescent="0.25">
      <c r="A10520" s="12" t="str">
        <f>("72-98148")</f>
        <v>72-98148</v>
      </c>
      <c r="B10520" s="15" t="s">
        <v>14759</v>
      </c>
      <c r="C10520" s="32">
        <v>111.25</v>
      </c>
    </row>
    <row r="10521" spans="1:3" ht="31.5" x14ac:dyDescent="0.25">
      <c r="A10521" s="12" t="str">
        <f>("72-110052")</f>
        <v>72-110052</v>
      </c>
      <c r="B10521" s="15" t="s">
        <v>14760</v>
      </c>
      <c r="C10521" s="32">
        <v>140</v>
      </c>
    </row>
    <row r="10522" spans="1:3" x14ac:dyDescent="0.25">
      <c r="A10522" s="12" t="str">
        <f>("72-51467")</f>
        <v>72-51467</v>
      </c>
      <c r="B10522" s="15" t="s">
        <v>13800</v>
      </c>
      <c r="C10522" s="32">
        <v>72.5</v>
      </c>
    </row>
    <row r="10523" spans="1:3" x14ac:dyDescent="0.25">
      <c r="A10523" s="12" t="str">
        <f>("72-35401")</f>
        <v>72-35401</v>
      </c>
      <c r="B10523" s="15" t="s">
        <v>14761</v>
      </c>
      <c r="C10523" s="32">
        <v>125</v>
      </c>
    </row>
    <row r="10524" spans="1:3" x14ac:dyDescent="0.25">
      <c r="A10524" s="12" t="str">
        <f>("72-35403")</f>
        <v>72-35403</v>
      </c>
      <c r="B10524" s="15" t="s">
        <v>14762</v>
      </c>
      <c r="C10524" s="32">
        <v>125</v>
      </c>
    </row>
    <row r="10525" spans="1:3" x14ac:dyDescent="0.25">
      <c r="A10525" s="12" t="str">
        <f>("72-35407")</f>
        <v>72-35407</v>
      </c>
      <c r="B10525" s="15" t="s">
        <v>14664</v>
      </c>
      <c r="C10525" s="32">
        <v>125</v>
      </c>
    </row>
    <row r="10526" spans="1:3" x14ac:dyDescent="0.25">
      <c r="A10526" s="12" t="str">
        <f>("72-35493")</f>
        <v>72-35493</v>
      </c>
      <c r="B10526" s="15" t="s">
        <v>14763</v>
      </c>
      <c r="C10526" s="32">
        <v>125</v>
      </c>
    </row>
    <row r="10527" spans="1:3" x14ac:dyDescent="0.25">
      <c r="A10527" s="12" t="str">
        <f>("72-37405")</f>
        <v>72-37405</v>
      </c>
      <c r="B10527" s="15" t="s">
        <v>13770</v>
      </c>
      <c r="C10527" s="32">
        <v>125</v>
      </c>
    </row>
    <row r="10528" spans="1:3" x14ac:dyDescent="0.25">
      <c r="A10528" s="12" t="str">
        <f>("72-37407")</f>
        <v>72-37407</v>
      </c>
      <c r="B10528" s="15" t="s">
        <v>14764</v>
      </c>
      <c r="C10528" s="32">
        <v>125</v>
      </c>
    </row>
    <row r="10529" spans="1:3" x14ac:dyDescent="0.25">
      <c r="A10529" s="12" t="str">
        <f>("72-37409")</f>
        <v>72-37409</v>
      </c>
      <c r="B10529" s="15" t="s">
        <v>14765</v>
      </c>
      <c r="C10529" s="32">
        <v>125</v>
      </c>
    </row>
    <row r="10530" spans="1:3" x14ac:dyDescent="0.25">
      <c r="A10530" s="12" t="str">
        <f>("72-37479")</f>
        <v>72-37479</v>
      </c>
      <c r="B10530" s="15" t="s">
        <v>13710</v>
      </c>
      <c r="C10530" s="32">
        <v>125</v>
      </c>
    </row>
    <row r="10531" spans="1:3" x14ac:dyDescent="0.25">
      <c r="A10531" s="12" t="str">
        <f>("72-37483")</f>
        <v>72-37483</v>
      </c>
      <c r="B10531" s="15" t="s">
        <v>14766</v>
      </c>
      <c r="C10531" s="32">
        <v>125</v>
      </c>
    </row>
    <row r="10532" spans="1:3" x14ac:dyDescent="0.25">
      <c r="A10532" s="12" t="str">
        <f>("72-39403")</f>
        <v>72-39403</v>
      </c>
      <c r="B10532" s="15" t="s">
        <v>14767</v>
      </c>
      <c r="C10532" s="32">
        <v>125</v>
      </c>
    </row>
    <row r="10533" spans="1:3" ht="31.5" x14ac:dyDescent="0.25">
      <c r="A10533" s="12" t="str">
        <f>("72-39405")</f>
        <v>72-39405</v>
      </c>
      <c r="B10533" s="15" t="s">
        <v>14768</v>
      </c>
      <c r="C10533" s="32">
        <v>125</v>
      </c>
    </row>
    <row r="10534" spans="1:3" x14ac:dyDescent="0.25">
      <c r="A10534" s="12" t="str">
        <f>("72-39407")</f>
        <v>72-39407</v>
      </c>
      <c r="B10534" s="15" t="s">
        <v>14769</v>
      </c>
      <c r="C10534" s="32">
        <v>125</v>
      </c>
    </row>
    <row r="10535" spans="1:3" x14ac:dyDescent="0.25">
      <c r="A10535" s="12" t="str">
        <f>("72-39415")</f>
        <v>72-39415</v>
      </c>
      <c r="B10535" s="15" t="s">
        <v>13795</v>
      </c>
      <c r="C10535" s="32">
        <v>125</v>
      </c>
    </row>
    <row r="10536" spans="1:3" ht="31.5" x14ac:dyDescent="0.25">
      <c r="A10536" s="12" t="str">
        <f>("72-39417")</f>
        <v>72-39417</v>
      </c>
      <c r="B10536" s="15" t="s">
        <v>14770</v>
      </c>
      <c r="C10536" s="32">
        <v>125</v>
      </c>
    </row>
    <row r="10537" spans="1:3" x14ac:dyDescent="0.25">
      <c r="A10537" s="12" t="str">
        <f>("72-39423")</f>
        <v>72-39423</v>
      </c>
      <c r="B10537" s="15" t="s">
        <v>14771</v>
      </c>
      <c r="C10537" s="32">
        <v>125</v>
      </c>
    </row>
    <row r="10538" spans="1:3" ht="31.5" x14ac:dyDescent="0.25">
      <c r="A10538" s="12" t="str">
        <f>("72-39429")</f>
        <v>72-39429</v>
      </c>
      <c r="B10538" s="15" t="s">
        <v>14772</v>
      </c>
      <c r="C10538" s="32">
        <v>125</v>
      </c>
    </row>
    <row r="10539" spans="1:3" ht="31.5" x14ac:dyDescent="0.25">
      <c r="A10539" s="12" t="str">
        <f>("72-39497")</f>
        <v>72-39497</v>
      </c>
      <c r="B10539" s="15" t="s">
        <v>14773</v>
      </c>
      <c r="C10539" s="32">
        <v>125</v>
      </c>
    </row>
    <row r="10540" spans="1:3" x14ac:dyDescent="0.25">
      <c r="A10540" s="12" t="str">
        <f>("72-51487")</f>
        <v>72-51487</v>
      </c>
      <c r="B10540" s="15" t="s">
        <v>14774</v>
      </c>
      <c r="C10540" s="32">
        <v>125</v>
      </c>
    </row>
    <row r="10541" spans="1:3" x14ac:dyDescent="0.25">
      <c r="A10541" s="12" t="str">
        <f>("72-51495")</f>
        <v>72-51495</v>
      </c>
      <c r="B10541" s="15" t="s">
        <v>13932</v>
      </c>
      <c r="C10541" s="32">
        <v>125</v>
      </c>
    </row>
    <row r="10542" spans="1:3" x14ac:dyDescent="0.25">
      <c r="A10542" s="12" t="str">
        <f>("72-69483")</f>
        <v>72-69483</v>
      </c>
      <c r="B10542" s="15" t="s">
        <v>14775</v>
      </c>
      <c r="C10542" s="32">
        <v>125</v>
      </c>
    </row>
    <row r="10543" spans="1:3" x14ac:dyDescent="0.25">
      <c r="A10543" s="12" t="str">
        <f>("72-69487")</f>
        <v>72-69487</v>
      </c>
      <c r="B10543" s="15" t="s">
        <v>13920</v>
      </c>
      <c r="C10543" s="32">
        <v>125</v>
      </c>
    </row>
    <row r="10544" spans="1:3" x14ac:dyDescent="0.25">
      <c r="A10544" s="12" t="str">
        <f>("72-88413")</f>
        <v>72-88413</v>
      </c>
      <c r="B10544" s="15" t="s">
        <v>13715</v>
      </c>
      <c r="C10544" s="32">
        <v>125</v>
      </c>
    </row>
    <row r="10545" spans="1:3" x14ac:dyDescent="0.25">
      <c r="A10545" s="12" t="str">
        <f>("72-88415")</f>
        <v>72-88415</v>
      </c>
      <c r="B10545" s="15" t="s">
        <v>13716</v>
      </c>
      <c r="C10545" s="32">
        <v>125</v>
      </c>
    </row>
    <row r="10546" spans="1:3" x14ac:dyDescent="0.25">
      <c r="A10546" s="12" t="str">
        <f>("72-88419")</f>
        <v>72-88419</v>
      </c>
      <c r="B10546" s="15" t="s">
        <v>14776</v>
      </c>
      <c r="C10546" s="32">
        <v>125</v>
      </c>
    </row>
    <row r="10547" spans="1:3" x14ac:dyDescent="0.25">
      <c r="A10547" s="12" t="str">
        <f>("72-88433")</f>
        <v>72-88433</v>
      </c>
      <c r="B10547" s="15" t="s">
        <v>14777</v>
      </c>
      <c r="C10547" s="32">
        <v>125</v>
      </c>
    </row>
    <row r="10548" spans="1:3" x14ac:dyDescent="0.25">
      <c r="A10548" s="12" t="str">
        <f>("72-88435")</f>
        <v>72-88435</v>
      </c>
      <c r="B10548" s="15" t="s">
        <v>13735</v>
      </c>
      <c r="C10548" s="32">
        <v>108.75</v>
      </c>
    </row>
    <row r="10549" spans="1:3" x14ac:dyDescent="0.25">
      <c r="A10549" s="12" t="str">
        <f>("72-31408")</f>
        <v>72-31408</v>
      </c>
      <c r="B10549" s="15" t="s">
        <v>13783</v>
      </c>
      <c r="C10549" s="32">
        <v>106.25</v>
      </c>
    </row>
    <row r="10550" spans="1:3" x14ac:dyDescent="0.25">
      <c r="A10550" s="12" t="str">
        <f>("72-31410")</f>
        <v>72-31410</v>
      </c>
      <c r="B10550" s="15" t="s">
        <v>14778</v>
      </c>
      <c r="C10550" s="32">
        <v>92.5</v>
      </c>
    </row>
    <row r="10551" spans="1:3" x14ac:dyDescent="0.25">
      <c r="A10551" s="12" t="str">
        <f>("72-35432")</f>
        <v>72-35432</v>
      </c>
      <c r="B10551" s="15" t="s">
        <v>14664</v>
      </c>
      <c r="C10551" s="32">
        <v>106.25</v>
      </c>
    </row>
    <row r="10552" spans="1:3" x14ac:dyDescent="0.25">
      <c r="A10552" s="12" t="str">
        <f>("72-57484")</f>
        <v>72-57484</v>
      </c>
      <c r="B10552" s="15" t="s">
        <v>14779</v>
      </c>
      <c r="C10552" s="32">
        <v>92.5</v>
      </c>
    </row>
    <row r="10553" spans="1:3" x14ac:dyDescent="0.25">
      <c r="A10553" s="12" t="str">
        <f>("80-CC121")</f>
        <v>80-CC121</v>
      </c>
      <c r="B10553" s="15" t="s">
        <v>14780</v>
      </c>
      <c r="C10553" s="32">
        <v>748.75</v>
      </c>
    </row>
    <row r="10554" spans="1:3" x14ac:dyDescent="0.25">
      <c r="A10554" s="12" t="str">
        <f>("80-HTB48")</f>
        <v>80-HTB48</v>
      </c>
      <c r="B10554" s="15" t="s">
        <v>14781</v>
      </c>
      <c r="C10554" s="32">
        <v>1095</v>
      </c>
    </row>
    <row r="10555" spans="1:3" x14ac:dyDescent="0.25">
      <c r="A10555" s="12" t="str">
        <f>("80-HTB60")</f>
        <v>80-HTB60</v>
      </c>
      <c r="B10555" s="15" t="s">
        <v>14782</v>
      </c>
      <c r="C10555" s="32">
        <v>1350</v>
      </c>
    </row>
    <row r="10556" spans="1:3" x14ac:dyDescent="0.25">
      <c r="A10556" s="12" t="str">
        <f>("80-HTB72")</f>
        <v>80-HTB72</v>
      </c>
      <c r="B10556" s="15" t="s">
        <v>14783</v>
      </c>
      <c r="C10556" s="32">
        <v>1473.75</v>
      </c>
    </row>
    <row r="10557" spans="1:3" x14ac:dyDescent="0.25">
      <c r="A10557" s="12" t="str">
        <f>("80-HTB72C")</f>
        <v>80-HTB72C</v>
      </c>
      <c r="B10557" s="15" t="s">
        <v>14784</v>
      </c>
      <c r="C10557" s="32">
        <v>1642.5</v>
      </c>
    </row>
    <row r="10558" spans="1:3" x14ac:dyDescent="0.25">
      <c r="A10558" s="12" t="str">
        <f>("80-HTB88")</f>
        <v>80-HTB88</v>
      </c>
      <c r="B10558" s="15" t="s">
        <v>14785</v>
      </c>
      <c r="C10558" s="32">
        <v>1635</v>
      </c>
    </row>
    <row r="10559" spans="1:3" x14ac:dyDescent="0.25">
      <c r="A10559" s="12" t="str">
        <f>("80-HTB88C")</f>
        <v>80-HTB88C</v>
      </c>
      <c r="B10559" s="15" t="s">
        <v>14786</v>
      </c>
      <c r="C10559" s="32">
        <v>1830</v>
      </c>
    </row>
    <row r="10560" spans="1:3" x14ac:dyDescent="0.25">
      <c r="A10560" s="12" t="str">
        <f>("80-HTB96")</f>
        <v>80-HTB96</v>
      </c>
      <c r="B10560" s="15" t="s">
        <v>14787</v>
      </c>
      <c r="C10560" s="32">
        <v>1661.25</v>
      </c>
    </row>
    <row r="10561" spans="1:3" x14ac:dyDescent="0.25">
      <c r="A10561" s="12" t="str">
        <f>("80-HTB96C")</f>
        <v>80-HTB96C</v>
      </c>
      <c r="B10561" s="15" t="s">
        <v>14788</v>
      </c>
      <c r="C10561" s="32">
        <v>1857.5</v>
      </c>
    </row>
    <row r="10562" spans="1:3" x14ac:dyDescent="0.25">
      <c r="A10562" s="12" t="str">
        <f>("80-HUB1848")</f>
        <v>80-HUB1848</v>
      </c>
      <c r="B10562" s="15" t="s">
        <v>14789</v>
      </c>
      <c r="C10562" s="32">
        <v>1098.75</v>
      </c>
    </row>
    <row r="10563" spans="1:3" ht="31.5" x14ac:dyDescent="0.25">
      <c r="A10563" s="12" t="str">
        <f>("80-RB257D")</f>
        <v>80-RB257D</v>
      </c>
      <c r="B10563" s="15" t="s">
        <v>14790</v>
      </c>
      <c r="C10563" s="32">
        <v>1002.5</v>
      </c>
    </row>
    <row r="10564" spans="1:3" x14ac:dyDescent="0.25">
      <c r="A10564" s="12" t="str">
        <f>("80-RB4919")</f>
        <v>80-RB4919</v>
      </c>
      <c r="B10564" s="15" t="s">
        <v>14791</v>
      </c>
      <c r="C10564" s="32">
        <v>761.25</v>
      </c>
    </row>
    <row r="10565" spans="1:3" x14ac:dyDescent="0.25">
      <c r="A10565" s="12" t="str">
        <f>("80-TB400-72")</f>
        <v>80-TB400-72</v>
      </c>
      <c r="B10565" s="15" t="s">
        <v>14792</v>
      </c>
      <c r="C10565" s="32">
        <v>1403.75</v>
      </c>
    </row>
    <row r="10566" spans="1:3" x14ac:dyDescent="0.25">
      <c r="A10566" s="12" t="str">
        <f>("80-TB400-72-BD")</f>
        <v>80-TB400-72-BD</v>
      </c>
      <c r="B10566" s="15" t="s">
        <v>14793</v>
      </c>
      <c r="C10566" s="32">
        <v>1741.25</v>
      </c>
    </row>
    <row r="10567" spans="1:3" x14ac:dyDescent="0.25">
      <c r="A10567" s="12" t="str">
        <f>("80-TB400-96D")</f>
        <v>80-TB400-96D</v>
      </c>
      <c r="B10567" s="15" t="s">
        <v>14794</v>
      </c>
      <c r="C10567" s="32">
        <v>1712.5</v>
      </c>
    </row>
    <row r="10568" spans="1:3" x14ac:dyDescent="0.25">
      <c r="A10568" s="12" t="str">
        <f>("80-TB400-96D-BD")</f>
        <v>80-TB400-96D-BD</v>
      </c>
      <c r="B10568" s="15" t="s">
        <v>14795</v>
      </c>
      <c r="C10568" s="32">
        <v>2088.75</v>
      </c>
    </row>
    <row r="10569" spans="1:3" x14ac:dyDescent="0.25">
      <c r="A10569" s="12" t="str">
        <f>("80-TBS200-48")</f>
        <v>80-TBS200-48</v>
      </c>
      <c r="B10569" s="15" t="s">
        <v>14796</v>
      </c>
      <c r="C10569" s="32">
        <v>1208.75</v>
      </c>
    </row>
    <row r="10570" spans="1:3" x14ac:dyDescent="0.25">
      <c r="A10570" s="12" t="str">
        <f>("80-TBS200-48-BD")</f>
        <v>80-TBS200-48-BD</v>
      </c>
      <c r="B10570" s="15" t="s">
        <v>14797</v>
      </c>
      <c r="C10570" s="32">
        <v>1343.75</v>
      </c>
    </row>
    <row r="10571" spans="1:3" x14ac:dyDescent="0.25">
      <c r="A10571" s="12" t="str">
        <f>("80-TBS200-60")</f>
        <v>80-TBS200-60</v>
      </c>
      <c r="B10571" s="15" t="s">
        <v>14798</v>
      </c>
      <c r="C10571" s="32">
        <v>1252.5</v>
      </c>
    </row>
    <row r="10572" spans="1:3" x14ac:dyDescent="0.25">
      <c r="A10572" s="12" t="str">
        <f>("80-TBS200-60-BD")</f>
        <v>80-TBS200-60-BD</v>
      </c>
      <c r="B10572" s="15" t="s">
        <v>14799</v>
      </c>
      <c r="C10572" s="32">
        <v>1390</v>
      </c>
    </row>
    <row r="10573" spans="1:3" x14ac:dyDescent="0.25">
      <c r="A10573" s="12" t="str">
        <f>("80-TBS200-72")</f>
        <v>80-TBS200-72</v>
      </c>
      <c r="B10573" s="15" t="s">
        <v>14800</v>
      </c>
      <c r="C10573" s="32">
        <v>1290</v>
      </c>
    </row>
    <row r="10574" spans="1:3" x14ac:dyDescent="0.25">
      <c r="A10574" s="12" t="str">
        <f>("80-TBS200-72-BD")</f>
        <v>80-TBS200-72-BD</v>
      </c>
      <c r="B10574" s="15" t="s">
        <v>14801</v>
      </c>
      <c r="C10574" s="32">
        <v>1433.75</v>
      </c>
    </row>
    <row r="10575" spans="1:3" x14ac:dyDescent="0.25">
      <c r="A10575" s="12" t="str">
        <f>("80-TBS200-88D")</f>
        <v>80-TBS200-88D</v>
      </c>
      <c r="B10575" s="15" t="s">
        <v>14802</v>
      </c>
      <c r="C10575" s="32">
        <v>1356.25</v>
      </c>
    </row>
    <row r="10576" spans="1:3" x14ac:dyDescent="0.25">
      <c r="A10576" s="12" t="str">
        <f>("80-TBS200-88D-BD")</f>
        <v>80-TBS200-88D-BD</v>
      </c>
      <c r="B10576" s="15" t="s">
        <v>14803</v>
      </c>
      <c r="C10576" s="32">
        <v>1540</v>
      </c>
    </row>
    <row r="10577" spans="1:3" x14ac:dyDescent="0.25">
      <c r="A10577" s="12" t="str">
        <f>("80-TBS200-90D")</f>
        <v>80-TBS200-90D</v>
      </c>
      <c r="B10577" s="15" t="s">
        <v>14804</v>
      </c>
      <c r="C10577" s="32">
        <v>1386.25</v>
      </c>
    </row>
    <row r="10578" spans="1:3" x14ac:dyDescent="0.25">
      <c r="A10578" s="12" t="str">
        <f>("80-TBS200-90D-BD")</f>
        <v>80-TBS200-90D-BD</v>
      </c>
      <c r="B10578" s="15" t="s">
        <v>14805</v>
      </c>
      <c r="C10578" s="32">
        <v>1570</v>
      </c>
    </row>
    <row r="10579" spans="1:3" x14ac:dyDescent="0.25">
      <c r="A10579" s="12" t="str">
        <f>("80-TBS200-96D")</f>
        <v>80-TBS200-96D</v>
      </c>
      <c r="B10579" s="15" t="s">
        <v>14806</v>
      </c>
      <c r="C10579" s="32">
        <v>1510</v>
      </c>
    </row>
    <row r="10580" spans="1:3" x14ac:dyDescent="0.25">
      <c r="A10580" s="12" t="str">
        <f>("80-TBS200-96D-BD")</f>
        <v>80-TBS200-96D-BD</v>
      </c>
      <c r="B10580" s="15" t="s">
        <v>14807</v>
      </c>
      <c r="C10580" s="32">
        <v>1677.5</v>
      </c>
    </row>
    <row r="10581" spans="1:3" x14ac:dyDescent="0.25">
      <c r="A10581" s="12" t="str">
        <f>("80-TP1")</f>
        <v>80-TP1</v>
      </c>
      <c r="B10581" s="15"/>
      <c r="C10581" s="32">
        <v>11.25</v>
      </c>
    </row>
    <row r="10582" spans="1:3" x14ac:dyDescent="0.25">
      <c r="A10582" s="12" t="str">
        <f>("80-TP1-90D")</f>
        <v>80-TP1-90D</v>
      </c>
      <c r="B10582" s="15"/>
      <c r="C10582" s="32">
        <v>396.25</v>
      </c>
    </row>
    <row r="10583" spans="1:3" x14ac:dyDescent="0.25">
      <c r="A10583" s="12" t="str">
        <f>("80-UB36-20TD")</f>
        <v>80-UB36-20TD</v>
      </c>
      <c r="B10583" s="15" t="s">
        <v>14808</v>
      </c>
      <c r="C10583" s="32">
        <v>845</v>
      </c>
    </row>
    <row r="10584" spans="1:3" x14ac:dyDescent="0.25">
      <c r="A10584" s="12" t="str">
        <f>("80-UB48-20TD")</f>
        <v>80-UB48-20TD</v>
      </c>
      <c r="B10584" s="15" t="s">
        <v>14809</v>
      </c>
      <c r="C10584" s="32">
        <v>950</v>
      </c>
    </row>
    <row r="10585" spans="1:3" ht="31.5" x14ac:dyDescent="0.25">
      <c r="A10585" s="12" t="str">
        <f>("80-RB137FL-BT")</f>
        <v>80-RB137FL-BT</v>
      </c>
      <c r="B10585" s="15" t="s">
        <v>14810</v>
      </c>
      <c r="C10585" s="32">
        <v>1281.25</v>
      </c>
    </row>
    <row r="10586" spans="1:3" x14ac:dyDescent="0.25">
      <c r="A10586" s="12" t="str">
        <f>("80-RB161-BT")</f>
        <v>80-RB161-BT</v>
      </c>
      <c r="B10586" s="15" t="s">
        <v>14811</v>
      </c>
      <c r="C10586" s="32">
        <v>918.75</v>
      </c>
    </row>
    <row r="10587" spans="1:3" x14ac:dyDescent="0.25">
      <c r="A10587" s="12" t="str">
        <f>("80-RB630-BT")</f>
        <v>80-RB630-BT</v>
      </c>
      <c r="B10587" s="15" t="s">
        <v>14812</v>
      </c>
      <c r="C10587" s="32">
        <v>1641.25</v>
      </c>
    </row>
    <row r="10588" spans="1:3" x14ac:dyDescent="0.25">
      <c r="A10588" s="12" t="str">
        <f>("80-RB674-BT")</f>
        <v>80-RB674-BT</v>
      </c>
      <c r="B10588" s="15" t="s">
        <v>14813</v>
      </c>
      <c r="C10588" s="32">
        <v>1076.25</v>
      </c>
    </row>
    <row r="10589" spans="1:3" x14ac:dyDescent="0.25">
      <c r="A10589" s="12" t="str">
        <f>("80-TB400-72-BD-BT")</f>
        <v>80-TB400-72-BD-BT</v>
      </c>
      <c r="B10589" s="15" t="s">
        <v>14793</v>
      </c>
      <c r="C10589" s="32">
        <v>1930</v>
      </c>
    </row>
    <row r="10590" spans="1:3" x14ac:dyDescent="0.25">
      <c r="A10590" s="12" t="str">
        <f>("80-TB400-96D-BD-BT")</f>
        <v>80-TB400-96D-BD-BT</v>
      </c>
      <c r="B10590" s="15" t="s">
        <v>14795</v>
      </c>
      <c r="C10590" s="32">
        <v>2276.25</v>
      </c>
    </row>
    <row r="10591" spans="1:3" x14ac:dyDescent="0.25">
      <c r="A10591" s="12" t="str">
        <f>("80-TB400-96D-BT")</f>
        <v>80-TB400-96D-BT</v>
      </c>
      <c r="B10591" s="15" t="s">
        <v>14794</v>
      </c>
      <c r="C10591" s="32">
        <v>1901.25</v>
      </c>
    </row>
    <row r="10592" spans="1:3" x14ac:dyDescent="0.25">
      <c r="A10592" s="12" t="str">
        <f>("80-TBS200-48-BD-BT")</f>
        <v>80-TBS200-48-BD-BT</v>
      </c>
      <c r="B10592" s="15" t="s">
        <v>14797</v>
      </c>
      <c r="C10592" s="32">
        <v>1533.75</v>
      </c>
    </row>
    <row r="10593" spans="1:3" x14ac:dyDescent="0.25">
      <c r="A10593" s="12" t="str">
        <f>("80-TBS200-60-BD-BT")</f>
        <v>80-TBS200-60-BD-BT</v>
      </c>
      <c r="B10593" s="15" t="s">
        <v>14799</v>
      </c>
      <c r="C10593" s="32">
        <v>1577.5</v>
      </c>
    </row>
    <row r="10594" spans="1:3" x14ac:dyDescent="0.25">
      <c r="A10594" s="12" t="str">
        <f>("80-TBS200-60-BT")</f>
        <v>80-TBS200-60-BT</v>
      </c>
      <c r="B10594" s="15" t="s">
        <v>14798</v>
      </c>
      <c r="C10594" s="32">
        <v>1440</v>
      </c>
    </row>
    <row r="10595" spans="1:3" x14ac:dyDescent="0.25">
      <c r="A10595" s="12" t="str">
        <f>("80-TBS200-72-BD-BT")</f>
        <v>80-TBS200-72-BD-BT</v>
      </c>
      <c r="B10595" s="15" t="s">
        <v>14801</v>
      </c>
      <c r="C10595" s="32">
        <v>1621.25</v>
      </c>
    </row>
    <row r="10596" spans="1:3" x14ac:dyDescent="0.25">
      <c r="A10596" s="12" t="str">
        <f>("80-TBS200-72-BT")</f>
        <v>80-TBS200-72-BT</v>
      </c>
      <c r="B10596" s="15" t="s">
        <v>14800</v>
      </c>
      <c r="C10596" s="32">
        <v>1480</v>
      </c>
    </row>
    <row r="10597" spans="1:3" x14ac:dyDescent="0.25">
      <c r="A10597" s="12" t="str">
        <f>("80-TBS200-88D-BD-BT")</f>
        <v>80-TBS200-88D-BD-BT</v>
      </c>
      <c r="B10597" s="15" t="s">
        <v>14803</v>
      </c>
      <c r="C10597" s="32">
        <v>1727.5</v>
      </c>
    </row>
    <row r="10598" spans="1:3" x14ac:dyDescent="0.25">
      <c r="A10598" s="12" t="str">
        <f>("80-TBS200-90D-BD-BT")</f>
        <v>80-TBS200-90D-BD-BT</v>
      </c>
      <c r="B10598" s="15" t="s">
        <v>14805</v>
      </c>
      <c r="C10598" s="32">
        <v>1760</v>
      </c>
    </row>
    <row r="10599" spans="1:3" x14ac:dyDescent="0.25">
      <c r="A10599" s="12" t="str">
        <f>("80-D11")</f>
        <v>80-D11</v>
      </c>
      <c r="B10599" s="15" t="s">
        <v>14814</v>
      </c>
      <c r="C10599" s="32">
        <v>8.75</v>
      </c>
    </row>
    <row r="10600" spans="1:3" x14ac:dyDescent="0.25">
      <c r="A10600" s="12" t="str">
        <f>("80-D16")</f>
        <v>80-D16</v>
      </c>
      <c r="B10600" s="15" t="s">
        <v>14815</v>
      </c>
      <c r="C10600" s="32">
        <v>13.75</v>
      </c>
    </row>
    <row r="10601" spans="1:3" x14ac:dyDescent="0.25">
      <c r="A10601" s="12" t="str">
        <f>("80-D18")</f>
        <v>80-D18</v>
      </c>
      <c r="B10601" s="15" t="s">
        <v>14816</v>
      </c>
      <c r="C10601" s="32">
        <v>17.5</v>
      </c>
    </row>
    <row r="10602" spans="1:3" x14ac:dyDescent="0.25">
      <c r="A10602" s="12" t="str">
        <f>("80-RB7656D")</f>
        <v>80-RB7656D</v>
      </c>
      <c r="B10602" s="15" t="s">
        <v>14817</v>
      </c>
      <c r="C10602" s="32">
        <v>1735</v>
      </c>
    </row>
    <row r="10603" spans="1:3" x14ac:dyDescent="0.25">
      <c r="A10603" s="12" t="str">
        <f>("80-RB7670P")</f>
        <v>80-RB7670P</v>
      </c>
      <c r="B10603" s="15" t="s">
        <v>14818</v>
      </c>
      <c r="C10603" s="32">
        <v>1892.5</v>
      </c>
    </row>
    <row r="10604" spans="1:3" ht="47.25" x14ac:dyDescent="0.25">
      <c r="A10604" s="12" t="str">
        <f>("80-TR10")</f>
        <v>80-TR10</v>
      </c>
      <c r="B10604" s="15" t="s">
        <v>14819</v>
      </c>
      <c r="C10604" s="32">
        <v>127.5</v>
      </c>
    </row>
    <row r="10605" spans="1:3" x14ac:dyDescent="0.25">
      <c r="A10605" s="12" t="str">
        <f>("80-TR11")</f>
        <v>80-TR11</v>
      </c>
      <c r="B10605" s="15" t="s">
        <v>14820</v>
      </c>
      <c r="C10605" s="32">
        <v>95</v>
      </c>
    </row>
    <row r="10606" spans="1:3" ht="47.25" x14ac:dyDescent="0.25">
      <c r="A10606" s="12" t="str">
        <f>("20000")</f>
        <v>20000</v>
      </c>
      <c r="B10606" s="15" t="s">
        <v>14821</v>
      </c>
      <c r="C10606" s="32">
        <v>448.75</v>
      </c>
    </row>
    <row r="10607" spans="1:3" ht="47.25" x14ac:dyDescent="0.25">
      <c r="A10607" s="12" t="str">
        <f>("20002")</f>
        <v>20002</v>
      </c>
      <c r="B10607" s="15" t="s">
        <v>14821</v>
      </c>
      <c r="C10607" s="32">
        <v>445</v>
      </c>
    </row>
    <row r="10608" spans="1:3" ht="31.5" x14ac:dyDescent="0.25">
      <c r="A10608" s="12" t="str">
        <f>("20008")</f>
        <v>20008</v>
      </c>
      <c r="B10608" s="15" t="s">
        <v>14822</v>
      </c>
      <c r="C10608" s="32">
        <v>438.75</v>
      </c>
    </row>
    <row r="10609" spans="1:3" ht="31.5" x14ac:dyDescent="0.25">
      <c r="A10609" s="12" t="str">
        <f>("20009")</f>
        <v>20009</v>
      </c>
      <c r="B10609" s="15" t="s">
        <v>14822</v>
      </c>
      <c r="C10609" s="32">
        <v>408.75</v>
      </c>
    </row>
    <row r="10610" spans="1:3" ht="47.25" x14ac:dyDescent="0.25">
      <c r="A10610" s="12" t="str">
        <f>("20022")</f>
        <v>20022</v>
      </c>
      <c r="B10610" s="15" t="s">
        <v>14821</v>
      </c>
      <c r="C10610" s="32">
        <v>582.5</v>
      </c>
    </row>
    <row r="10611" spans="1:3" x14ac:dyDescent="0.25">
      <c r="A10611" s="12" t="str">
        <f>("20105")</f>
        <v>20105</v>
      </c>
      <c r="B10611" s="15" t="s">
        <v>14823</v>
      </c>
      <c r="C10611" s="32">
        <v>596.25</v>
      </c>
    </row>
    <row r="10612" spans="1:3" x14ac:dyDescent="0.25">
      <c r="A10612" s="12" t="str">
        <f>("20107")</f>
        <v>20107</v>
      </c>
      <c r="B10612" s="15" t="s">
        <v>14824</v>
      </c>
      <c r="C10612" s="32">
        <v>673.75</v>
      </c>
    </row>
    <row r="10613" spans="1:3" ht="47.25" x14ac:dyDescent="0.25">
      <c r="A10613" s="12" t="str">
        <f>("21000")</f>
        <v>21000</v>
      </c>
      <c r="B10613" s="15" t="s">
        <v>14821</v>
      </c>
      <c r="C10613" s="32">
        <v>846.25</v>
      </c>
    </row>
    <row r="10614" spans="1:3" ht="47.25" x14ac:dyDescent="0.25">
      <c r="A10614" s="12" t="str">
        <f>("21002")</f>
        <v>21002</v>
      </c>
      <c r="B10614" s="15" t="s">
        <v>14821</v>
      </c>
      <c r="C10614" s="32">
        <v>782.5</v>
      </c>
    </row>
    <row r="10615" spans="1:3" ht="47.25" x14ac:dyDescent="0.25">
      <c r="A10615" s="12" t="str">
        <f>("21007")</f>
        <v>21007</v>
      </c>
      <c r="B10615" s="15" t="s">
        <v>14821</v>
      </c>
      <c r="C10615" s="32">
        <v>812.5</v>
      </c>
    </row>
    <row r="10616" spans="1:3" x14ac:dyDescent="0.25">
      <c r="A10616" s="12" t="str">
        <f>("61000")</f>
        <v>61000</v>
      </c>
      <c r="B10616" s="15" t="s">
        <v>14825</v>
      </c>
      <c r="C10616" s="32">
        <v>377.5</v>
      </c>
    </row>
    <row r="10617" spans="1:3" x14ac:dyDescent="0.25">
      <c r="A10617" s="12" t="str">
        <f>("61001")</f>
        <v>61001</v>
      </c>
      <c r="B10617" s="15" t="s">
        <v>14825</v>
      </c>
      <c r="C10617" s="32">
        <v>426.25</v>
      </c>
    </row>
    <row r="10618" spans="1:3" x14ac:dyDescent="0.25">
      <c r="A10618" s="12" t="str">
        <f>("63000")</f>
        <v>63000</v>
      </c>
      <c r="B10618" s="15" t="s">
        <v>14826</v>
      </c>
      <c r="C10618" s="32">
        <v>377.5</v>
      </c>
    </row>
    <row r="10619" spans="1:3" x14ac:dyDescent="0.25">
      <c r="A10619" s="12" t="str">
        <f>("65000")</f>
        <v>65000</v>
      </c>
      <c r="B10619" s="15" t="s">
        <v>14827</v>
      </c>
      <c r="C10619" s="32">
        <v>377.5</v>
      </c>
    </row>
    <row r="10620" spans="1:3" ht="47.25" x14ac:dyDescent="0.25">
      <c r="A10620" s="12" t="str">
        <f>("66000")</f>
        <v>66000</v>
      </c>
      <c r="B10620" s="15" t="s">
        <v>14828</v>
      </c>
      <c r="C10620" s="32">
        <v>377.5</v>
      </c>
    </row>
    <row r="10621" spans="1:3" ht="47.25" x14ac:dyDescent="0.25">
      <c r="A10621" s="12" t="str">
        <f>("66001")</f>
        <v>66001</v>
      </c>
      <c r="B10621" s="15" t="s">
        <v>14829</v>
      </c>
      <c r="C10621" s="32">
        <v>426.25</v>
      </c>
    </row>
    <row r="10622" spans="1:3" x14ac:dyDescent="0.25">
      <c r="A10622" s="12" t="str">
        <f>("71000")</f>
        <v>71000</v>
      </c>
      <c r="B10622" s="15" t="s">
        <v>14825</v>
      </c>
      <c r="C10622" s="32">
        <v>672.5</v>
      </c>
    </row>
    <row r="10623" spans="1:3" x14ac:dyDescent="0.25">
      <c r="A10623" s="12" t="str">
        <f>("71001")</f>
        <v>71001</v>
      </c>
      <c r="B10623" s="15" t="s">
        <v>14825</v>
      </c>
      <c r="C10623" s="32">
        <v>683.75</v>
      </c>
    </row>
    <row r="10624" spans="1:3" x14ac:dyDescent="0.25">
      <c r="A10624" s="12" t="str">
        <f>("73000")</f>
        <v>73000</v>
      </c>
      <c r="B10624" s="15" t="s">
        <v>14826</v>
      </c>
      <c r="C10624" s="32">
        <v>722.5</v>
      </c>
    </row>
    <row r="10625" spans="1:3" ht="31.5" x14ac:dyDescent="0.25">
      <c r="A10625" s="12" t="str">
        <f>("76000")</f>
        <v>76000</v>
      </c>
      <c r="B10625" s="15" t="s">
        <v>14830</v>
      </c>
      <c r="C10625" s="32">
        <v>815</v>
      </c>
    </row>
    <row r="10626" spans="1:3" ht="47.25" x14ac:dyDescent="0.25">
      <c r="A10626" s="12" t="str">
        <f>("76001")</f>
        <v>76001</v>
      </c>
      <c r="B10626" s="15" t="s">
        <v>14829</v>
      </c>
      <c r="C10626" s="32">
        <v>646.25</v>
      </c>
    </row>
    <row r="10627" spans="1:3" x14ac:dyDescent="0.25">
      <c r="A10627" s="12" t="str">
        <f>("92200")</f>
        <v>92200</v>
      </c>
      <c r="B10627" s="15" t="s">
        <v>14831</v>
      </c>
      <c r="C10627" s="32">
        <v>103.75</v>
      </c>
    </row>
    <row r="10628" spans="1:3" x14ac:dyDescent="0.25">
      <c r="A10628" s="12" t="str">
        <f>("92220")</f>
        <v>92220</v>
      </c>
      <c r="B10628" s="15" t="s">
        <v>14832</v>
      </c>
      <c r="C10628" s="32">
        <v>103.75</v>
      </c>
    </row>
    <row r="10629" spans="1:3" ht="31.5" x14ac:dyDescent="0.25">
      <c r="A10629" s="12" t="str">
        <f>("92230")</f>
        <v>92230</v>
      </c>
      <c r="B10629" s="15" t="s">
        <v>14833</v>
      </c>
      <c r="C10629" s="32">
        <v>123.75</v>
      </c>
    </row>
    <row r="10630" spans="1:3" x14ac:dyDescent="0.25">
      <c r="A10630" s="12" t="str">
        <f>("92240")</f>
        <v>92240</v>
      </c>
      <c r="B10630" s="15" t="s">
        <v>14834</v>
      </c>
      <c r="C10630" s="32">
        <v>103.75</v>
      </c>
    </row>
    <row r="10631" spans="1:3" x14ac:dyDescent="0.25">
      <c r="A10631" s="12" t="str">
        <f>("92300")</f>
        <v>92300</v>
      </c>
      <c r="B10631" s="15" t="s">
        <v>14835</v>
      </c>
      <c r="C10631" s="32">
        <v>103.75</v>
      </c>
    </row>
    <row r="10632" spans="1:3" x14ac:dyDescent="0.25">
      <c r="A10632" s="12" t="str">
        <f>("92500")</f>
        <v>92500</v>
      </c>
      <c r="B10632" s="15" t="s">
        <v>14836</v>
      </c>
      <c r="C10632" s="32">
        <v>103.75</v>
      </c>
    </row>
    <row r="10633" spans="1:3" x14ac:dyDescent="0.25">
      <c r="A10633" s="12" t="str">
        <f>("93500")</f>
        <v>93500</v>
      </c>
      <c r="B10633" s="15" t="s">
        <v>14837</v>
      </c>
      <c r="C10633" s="32">
        <v>123.75</v>
      </c>
    </row>
    <row r="10634" spans="1:3" x14ac:dyDescent="0.25">
      <c r="A10634" s="12" t="str">
        <f>("93700")</f>
        <v>93700</v>
      </c>
      <c r="B10634" s="15" t="s">
        <v>14838</v>
      </c>
      <c r="C10634" s="32">
        <v>103.75</v>
      </c>
    </row>
    <row r="10635" spans="1:3" x14ac:dyDescent="0.25">
      <c r="A10635" s="12" t="str">
        <f>("93800")</f>
        <v>93800</v>
      </c>
      <c r="B10635" s="15" t="s">
        <v>14839</v>
      </c>
      <c r="C10635" s="32">
        <v>103.75</v>
      </c>
    </row>
    <row r="10636" spans="1:3" x14ac:dyDescent="0.25">
      <c r="A10636" s="12" t="str">
        <f>("94400")</f>
        <v>94400</v>
      </c>
      <c r="B10636" s="15" t="s">
        <v>14840</v>
      </c>
      <c r="C10636" s="32">
        <v>123.75</v>
      </c>
    </row>
    <row r="10637" spans="1:3" x14ac:dyDescent="0.25">
      <c r="A10637" s="12" t="str">
        <f>("95300")</f>
        <v>95300</v>
      </c>
      <c r="B10637" s="15" t="s">
        <v>14841</v>
      </c>
      <c r="C10637" s="32">
        <v>123.75</v>
      </c>
    </row>
    <row r="10638" spans="1:3" x14ac:dyDescent="0.25">
      <c r="A10638" s="12" t="str">
        <f>("95500")</f>
        <v>95500</v>
      </c>
      <c r="B10638" s="15" t="s">
        <v>14842</v>
      </c>
      <c r="C10638" s="32">
        <v>123.75</v>
      </c>
    </row>
    <row r="10639" spans="1:3" x14ac:dyDescent="0.25">
      <c r="A10639" s="12" t="str">
        <f>("95600")</f>
        <v>95600</v>
      </c>
      <c r="B10639" s="15" t="s">
        <v>14843</v>
      </c>
      <c r="C10639" s="32">
        <v>103.75</v>
      </c>
    </row>
    <row r="10640" spans="1:3" x14ac:dyDescent="0.25">
      <c r="A10640" s="12" t="str">
        <f>("95800")</f>
        <v>95800</v>
      </c>
      <c r="B10640" s="15" t="s">
        <v>14827</v>
      </c>
      <c r="C10640" s="32">
        <v>103.75</v>
      </c>
    </row>
    <row r="10641" spans="1:3" ht="31.5" x14ac:dyDescent="0.25">
      <c r="A10641" s="12" t="str">
        <f>("97200")</f>
        <v>97200</v>
      </c>
      <c r="B10641" s="15" t="s">
        <v>14844</v>
      </c>
      <c r="C10641" s="32">
        <v>103.75</v>
      </c>
    </row>
    <row r="10642" spans="1:3" x14ac:dyDescent="0.25">
      <c r="A10642" s="12" t="str">
        <f>("97800")</f>
        <v>97800</v>
      </c>
      <c r="B10642" s="15" t="s">
        <v>14845</v>
      </c>
      <c r="C10642" s="32">
        <v>103.75</v>
      </c>
    </row>
    <row r="10643" spans="1:3" x14ac:dyDescent="0.25">
      <c r="A10643" s="12" t="str">
        <f>("97900")</f>
        <v>97900</v>
      </c>
      <c r="B10643" s="15" t="s">
        <v>14846</v>
      </c>
      <c r="C10643" s="32">
        <v>123.75</v>
      </c>
    </row>
    <row r="10644" spans="1:3" x14ac:dyDescent="0.25">
      <c r="A10644" s="12" t="str">
        <f>("31000")</f>
        <v>31000</v>
      </c>
      <c r="B10644" s="15" t="s">
        <v>14847</v>
      </c>
      <c r="C10644" s="32">
        <v>1062.5</v>
      </c>
    </row>
    <row r="10645" spans="1:3" x14ac:dyDescent="0.25">
      <c r="A10645" s="12" t="str">
        <f>("31006")</f>
        <v>31006</v>
      </c>
      <c r="B10645" s="15" t="s">
        <v>14848</v>
      </c>
      <c r="C10645" s="32">
        <v>1062.5</v>
      </c>
    </row>
    <row r="10646" spans="1:3" x14ac:dyDescent="0.25">
      <c r="A10646" s="12" t="str">
        <f>("32018")</f>
        <v>32018</v>
      </c>
      <c r="B10646" s="15" t="s">
        <v>14849</v>
      </c>
      <c r="C10646" s="32">
        <v>620</v>
      </c>
    </row>
    <row r="10647" spans="1:3" x14ac:dyDescent="0.25">
      <c r="A10647" s="12" t="str">
        <f>("00000923")</f>
        <v>00000923</v>
      </c>
      <c r="B10647" s="15" t="s">
        <v>14850</v>
      </c>
      <c r="C10647" s="32">
        <v>175</v>
      </c>
    </row>
    <row r="10648" spans="1:3" x14ac:dyDescent="0.25">
      <c r="A10648" s="12" t="str">
        <f>("00000966")</f>
        <v>00000966</v>
      </c>
      <c r="B10648" s="15" t="s">
        <v>14851</v>
      </c>
      <c r="C10648" s="32">
        <v>175</v>
      </c>
    </row>
    <row r="10649" spans="1:3" x14ac:dyDescent="0.25">
      <c r="A10649" s="12" t="str">
        <f>("00000975")</f>
        <v>00000975</v>
      </c>
      <c r="B10649" s="15" t="s">
        <v>14852</v>
      </c>
      <c r="C10649" s="32">
        <v>175</v>
      </c>
    </row>
    <row r="10650" spans="1:3" x14ac:dyDescent="0.25">
      <c r="A10650" s="12" t="str">
        <f>("00000977")</f>
        <v>00000977</v>
      </c>
      <c r="B10650" s="15" t="s">
        <v>14853</v>
      </c>
      <c r="C10650" s="32">
        <v>192.5</v>
      </c>
    </row>
    <row r="10651" spans="1:3" x14ac:dyDescent="0.25">
      <c r="A10651" s="12" t="str">
        <f>("00000978")</f>
        <v>00000978</v>
      </c>
      <c r="B10651" s="15" t="s">
        <v>14854</v>
      </c>
      <c r="C10651" s="32">
        <v>187.5</v>
      </c>
    </row>
    <row r="10652" spans="1:3" x14ac:dyDescent="0.25">
      <c r="A10652" s="12" t="str">
        <f>("00007147")</f>
        <v>00007147</v>
      </c>
      <c r="B10652" s="15" t="s">
        <v>14855</v>
      </c>
      <c r="C10652" s="32">
        <v>192.5</v>
      </c>
    </row>
    <row r="10653" spans="1:3" x14ac:dyDescent="0.25">
      <c r="A10653" s="12" t="str">
        <f>("00007153")</f>
        <v>00007153</v>
      </c>
      <c r="B10653" s="15" t="s">
        <v>14856</v>
      </c>
      <c r="C10653" s="32">
        <v>37.5</v>
      </c>
    </row>
    <row r="10654" spans="1:3" x14ac:dyDescent="0.25">
      <c r="A10654" s="12" t="str">
        <f>("00007226")</f>
        <v>00007226</v>
      </c>
      <c r="B10654" s="15" t="s">
        <v>14857</v>
      </c>
      <c r="C10654" s="32">
        <v>70</v>
      </c>
    </row>
    <row r="10655" spans="1:3" x14ac:dyDescent="0.25">
      <c r="A10655" s="12" t="str">
        <f>("00007271")</f>
        <v>00007271</v>
      </c>
      <c r="B10655" s="15" t="s">
        <v>14858</v>
      </c>
      <c r="C10655" s="32">
        <v>155</v>
      </c>
    </row>
    <row r="10656" spans="1:3" x14ac:dyDescent="0.25">
      <c r="A10656" s="12" t="str">
        <f>("00007304")</f>
        <v>00007304</v>
      </c>
      <c r="B10656" s="15" t="s">
        <v>14859</v>
      </c>
      <c r="C10656" s="32">
        <v>187.5</v>
      </c>
    </row>
    <row r="10657" spans="1:3" x14ac:dyDescent="0.25">
      <c r="A10657" s="12" t="str">
        <f>("09-276576")</f>
        <v>09-276576</v>
      </c>
      <c r="B10657" s="15" t="s">
        <v>14860</v>
      </c>
      <c r="C10657" s="32">
        <v>8.75</v>
      </c>
    </row>
    <row r="10658" spans="1:3" x14ac:dyDescent="0.25">
      <c r="A10658" s="12" t="str">
        <f>("09-583411-1")</f>
        <v>09-583411-1</v>
      </c>
      <c r="B10658" s="15"/>
      <c r="C10658" s="32">
        <v>27.5</v>
      </c>
    </row>
    <row r="10659" spans="1:3" x14ac:dyDescent="0.25">
      <c r="A10659" s="12" t="str">
        <f>("09-583411-2")</f>
        <v>09-583411-2</v>
      </c>
      <c r="B10659" s="15"/>
      <c r="C10659" s="32">
        <v>58.75</v>
      </c>
    </row>
    <row r="10660" spans="1:3" x14ac:dyDescent="0.25">
      <c r="A10660" s="12" t="str">
        <f>("09-621025-1")</f>
        <v>09-621025-1</v>
      </c>
      <c r="B10660" s="15" t="s">
        <v>14861</v>
      </c>
      <c r="C10660" s="32">
        <v>20</v>
      </c>
    </row>
    <row r="10661" spans="1:3" x14ac:dyDescent="0.25">
      <c r="A10661" s="12" t="str">
        <f>("09-621025-2")</f>
        <v>09-621025-2</v>
      </c>
      <c r="B10661" s="15" t="s">
        <v>14862</v>
      </c>
      <c r="C10661" s="32">
        <v>20</v>
      </c>
    </row>
    <row r="10662" spans="1:3" x14ac:dyDescent="0.25">
      <c r="A10662" s="12" t="str">
        <f>("21-0001")</f>
        <v>21-0001</v>
      </c>
      <c r="B10662" s="15" t="s">
        <v>14863</v>
      </c>
      <c r="C10662" s="32">
        <v>48.75</v>
      </c>
    </row>
    <row r="10663" spans="1:3" x14ac:dyDescent="0.25">
      <c r="A10663" s="12" t="str">
        <f>("21-20001")</f>
        <v>21-20001</v>
      </c>
      <c r="B10663" s="15" t="s">
        <v>14864</v>
      </c>
      <c r="C10663" s="32">
        <v>61.25</v>
      </c>
    </row>
    <row r="10664" spans="1:3" x14ac:dyDescent="0.25">
      <c r="A10664" s="12" t="str">
        <f>("21-20001-5")</f>
        <v>21-20001-5</v>
      </c>
      <c r="B10664" s="15" t="s">
        <v>14865</v>
      </c>
      <c r="C10664" s="32">
        <v>61.25</v>
      </c>
    </row>
    <row r="10665" spans="1:3" x14ac:dyDescent="0.25">
      <c r="A10665" s="12" t="str">
        <f>("21-50001")</f>
        <v>21-50001</v>
      </c>
      <c r="B10665" s="15" t="s">
        <v>14863</v>
      </c>
      <c r="C10665" s="32">
        <v>61.25</v>
      </c>
    </row>
    <row r="10666" spans="1:3" x14ac:dyDescent="0.25">
      <c r="A10666" s="12" t="str">
        <f>("21-50002")</f>
        <v>21-50002</v>
      </c>
      <c r="B10666" s="15" t="s">
        <v>14866</v>
      </c>
      <c r="C10666" s="32">
        <v>61.25</v>
      </c>
    </row>
    <row r="10667" spans="1:3" x14ac:dyDescent="0.25">
      <c r="A10667" s="12" t="str">
        <f>("21-60001")</f>
        <v>21-60001</v>
      </c>
      <c r="B10667" s="15" t="s">
        <v>14863</v>
      </c>
      <c r="C10667" s="32">
        <v>57.5</v>
      </c>
    </row>
    <row r="10668" spans="1:3" x14ac:dyDescent="0.25">
      <c r="A10668" s="12" t="str">
        <f>("22-5001")</f>
        <v>22-5001</v>
      </c>
      <c r="B10668" s="15" t="s">
        <v>14867</v>
      </c>
      <c r="C10668" s="32">
        <v>61.25</v>
      </c>
    </row>
    <row r="10669" spans="1:3" x14ac:dyDescent="0.25">
      <c r="A10669" s="12" t="str">
        <f>("22-5002")</f>
        <v>22-5002</v>
      </c>
      <c r="B10669" s="15" t="s">
        <v>14868</v>
      </c>
      <c r="C10669" s="32">
        <v>61.25</v>
      </c>
    </row>
    <row r="10670" spans="1:3" x14ac:dyDescent="0.25">
      <c r="A10670" s="12" t="str">
        <f>("22-5003")</f>
        <v>22-5003</v>
      </c>
      <c r="B10670" s="15" t="s">
        <v>14869</v>
      </c>
      <c r="C10670" s="32">
        <v>28.75</v>
      </c>
    </row>
    <row r="10671" spans="1:3" x14ac:dyDescent="0.25">
      <c r="A10671" s="12" t="str">
        <f>("22-6003")</f>
        <v>22-6003</v>
      </c>
      <c r="B10671" s="15" t="s">
        <v>14870</v>
      </c>
      <c r="C10671" s="32">
        <v>61.25</v>
      </c>
    </row>
    <row r="10672" spans="1:3" x14ac:dyDescent="0.25">
      <c r="A10672" s="12" t="str">
        <f>("22-6004")</f>
        <v>22-6004</v>
      </c>
      <c r="B10672" s="15" t="s">
        <v>14871</v>
      </c>
      <c r="C10672" s="32">
        <v>28.75</v>
      </c>
    </row>
    <row r="10673" spans="1:3" x14ac:dyDescent="0.25">
      <c r="A10673" s="12" t="str">
        <f>("23-0001")</f>
        <v>23-0001</v>
      </c>
      <c r="B10673" s="15" t="s">
        <v>14872</v>
      </c>
      <c r="C10673" s="32">
        <v>67.5</v>
      </c>
    </row>
    <row r="10674" spans="1:3" x14ac:dyDescent="0.25">
      <c r="A10674" s="12" t="str">
        <f>("24-50020")</f>
        <v>24-50020</v>
      </c>
      <c r="B10674" s="15" t="s">
        <v>14873</v>
      </c>
      <c r="C10674" s="32">
        <v>67.5</v>
      </c>
    </row>
    <row r="10675" spans="1:3" x14ac:dyDescent="0.25">
      <c r="A10675" s="12" t="str">
        <f>("24-50024")</f>
        <v>24-50024</v>
      </c>
      <c r="B10675" s="15" t="s">
        <v>14863</v>
      </c>
      <c r="C10675" s="32">
        <v>67.5</v>
      </c>
    </row>
    <row r="10676" spans="1:3" x14ac:dyDescent="0.25">
      <c r="A10676" s="12" t="str">
        <f>("25-0001")</f>
        <v>25-0001</v>
      </c>
      <c r="B10676" s="15" t="s">
        <v>14873</v>
      </c>
      <c r="C10676" s="32">
        <v>55</v>
      </c>
    </row>
    <row r="10677" spans="1:3" x14ac:dyDescent="0.25">
      <c r="A10677" s="12" t="str">
        <f>("26-0001")</f>
        <v>26-0001</v>
      </c>
      <c r="B10677" s="15" t="s">
        <v>14873</v>
      </c>
      <c r="C10677" s="32">
        <v>55</v>
      </c>
    </row>
    <row r="10678" spans="1:3" x14ac:dyDescent="0.25">
      <c r="A10678" s="12" t="str">
        <f>("28-50001")</f>
        <v>28-50001</v>
      </c>
      <c r="B10678" s="15" t="s">
        <v>14874</v>
      </c>
      <c r="C10678" s="32">
        <v>61.25</v>
      </c>
    </row>
    <row r="10679" spans="1:3" x14ac:dyDescent="0.25">
      <c r="A10679" s="12" t="str">
        <f>("28-50002")</f>
        <v>28-50002</v>
      </c>
      <c r="B10679" s="15" t="s">
        <v>14875</v>
      </c>
      <c r="C10679" s="32">
        <v>61.25</v>
      </c>
    </row>
    <row r="10680" spans="1:3" x14ac:dyDescent="0.25">
      <c r="A10680" s="12" t="str">
        <f>("28-50003")</f>
        <v>28-50003</v>
      </c>
      <c r="B10680" s="15" t="s">
        <v>14876</v>
      </c>
      <c r="C10680" s="32">
        <v>28.75</v>
      </c>
    </row>
    <row r="10681" spans="1:3" x14ac:dyDescent="0.25">
      <c r="A10681" s="12" t="str">
        <f>("28-70001")</f>
        <v>28-70001</v>
      </c>
      <c r="B10681" s="15" t="s">
        <v>14877</v>
      </c>
      <c r="C10681" s="32">
        <v>61.25</v>
      </c>
    </row>
    <row r="10682" spans="1:3" x14ac:dyDescent="0.25">
      <c r="A10682" s="12" t="str">
        <f>("28-70002")</f>
        <v>28-70002</v>
      </c>
      <c r="B10682" s="15" t="s">
        <v>14878</v>
      </c>
      <c r="C10682" s="32">
        <v>61.25</v>
      </c>
    </row>
    <row r="10683" spans="1:3" x14ac:dyDescent="0.25">
      <c r="A10683" s="12" t="str">
        <f>("28-71991")</f>
        <v>28-71991</v>
      </c>
      <c r="B10683" s="15" t="s">
        <v>14879</v>
      </c>
      <c r="C10683" s="32">
        <v>28.75</v>
      </c>
    </row>
    <row r="10684" spans="1:3" x14ac:dyDescent="0.25">
      <c r="A10684" s="12" t="str">
        <f>("40-1004")</f>
        <v>40-1004</v>
      </c>
      <c r="B10684" s="15" t="s">
        <v>14880</v>
      </c>
      <c r="C10684" s="32">
        <v>88.75</v>
      </c>
    </row>
    <row r="10685" spans="1:3" x14ac:dyDescent="0.25">
      <c r="A10685" s="12" t="str">
        <f>("500-SPCL")</f>
        <v>500-SPCL</v>
      </c>
      <c r="B10685" s="15"/>
      <c r="C10685" s="32">
        <v>117.5</v>
      </c>
    </row>
    <row r="10686" spans="1:3" x14ac:dyDescent="0.25">
      <c r="A10686" s="12" t="str">
        <f>("56-100006")</f>
        <v>56-100006</v>
      </c>
      <c r="B10686" s="15" t="s">
        <v>14881</v>
      </c>
      <c r="C10686" s="32">
        <v>43.75</v>
      </c>
    </row>
    <row r="10687" spans="1:3" x14ac:dyDescent="0.25">
      <c r="A10687" s="12" t="str">
        <f>("56-10001")</f>
        <v>56-10001</v>
      </c>
      <c r="B10687" s="15" t="s">
        <v>14882</v>
      </c>
      <c r="C10687" s="32">
        <v>61.25</v>
      </c>
    </row>
    <row r="10688" spans="1:3" x14ac:dyDescent="0.25">
      <c r="A10688" s="12" t="str">
        <f>("56-100011")</f>
        <v>56-100011</v>
      </c>
      <c r="B10688" s="15" t="s">
        <v>14883</v>
      </c>
      <c r="C10688" s="32">
        <v>65</v>
      </c>
    </row>
    <row r="10689" spans="1:3" x14ac:dyDescent="0.25">
      <c r="A10689" s="12" t="str">
        <f>("56-100015")</f>
        <v>56-100015</v>
      </c>
      <c r="B10689" s="15" t="s">
        <v>14884</v>
      </c>
      <c r="C10689" s="32">
        <v>80</v>
      </c>
    </row>
    <row r="10690" spans="1:3" x14ac:dyDescent="0.25">
      <c r="A10690" s="12" t="str">
        <f>("56-10002")</f>
        <v>56-10002</v>
      </c>
      <c r="B10690" s="15" t="s">
        <v>14885</v>
      </c>
      <c r="C10690" s="32">
        <v>61.25</v>
      </c>
    </row>
    <row r="10691" spans="1:3" x14ac:dyDescent="0.25">
      <c r="A10691" s="12" t="str">
        <f>("56-10003")</f>
        <v>56-10003</v>
      </c>
      <c r="B10691" s="15" t="s">
        <v>14886</v>
      </c>
      <c r="C10691" s="32">
        <v>61.25</v>
      </c>
    </row>
    <row r="10692" spans="1:3" x14ac:dyDescent="0.25">
      <c r="A10692" s="12" t="str">
        <f>("56-20001")</f>
        <v>56-20001</v>
      </c>
      <c r="B10692" s="15" t="s">
        <v>14887</v>
      </c>
      <c r="C10692" s="32">
        <v>61.25</v>
      </c>
    </row>
    <row r="10693" spans="1:3" x14ac:dyDescent="0.25">
      <c r="A10693" s="12" t="str">
        <f>("57-0001")</f>
        <v>57-0001</v>
      </c>
      <c r="B10693" s="15" t="s">
        <v>14888</v>
      </c>
      <c r="C10693" s="32">
        <v>117.5</v>
      </c>
    </row>
    <row r="10694" spans="1:3" x14ac:dyDescent="0.25">
      <c r="A10694" s="12" t="str">
        <f>("57-0002")</f>
        <v>57-0002</v>
      </c>
      <c r="B10694" s="15"/>
      <c r="C10694" s="32">
        <v>1.25</v>
      </c>
    </row>
    <row r="10695" spans="1:3" x14ac:dyDescent="0.25">
      <c r="A10695" s="12" t="str">
        <f>("57-23955-11")</f>
        <v>57-23955-11</v>
      </c>
      <c r="B10695" s="15"/>
      <c r="C10695" s="32">
        <v>12.5</v>
      </c>
    </row>
    <row r="10696" spans="1:3" x14ac:dyDescent="0.25">
      <c r="A10696" s="12" t="str">
        <f>("57-23955-12")</f>
        <v>57-23955-12</v>
      </c>
      <c r="B10696" s="15"/>
      <c r="C10696" s="32">
        <v>12.5</v>
      </c>
    </row>
    <row r="10697" spans="1:3" x14ac:dyDescent="0.25">
      <c r="A10697" s="12" t="str">
        <f>("80-0001")</f>
        <v>80-0001</v>
      </c>
      <c r="B10697" s="15" t="s">
        <v>14889</v>
      </c>
      <c r="C10697" s="32">
        <v>13.75</v>
      </c>
    </row>
    <row r="10698" spans="1:3" x14ac:dyDescent="0.25">
      <c r="A10698" s="12" t="str">
        <f>("80-0119")</f>
        <v>80-0119</v>
      </c>
      <c r="B10698" s="15"/>
      <c r="C10698" s="32">
        <v>56.25</v>
      </c>
    </row>
    <row r="10699" spans="1:3" x14ac:dyDescent="0.25">
      <c r="A10699" s="12" t="str">
        <f>("80-0124")</f>
        <v>80-0124</v>
      </c>
      <c r="B10699" s="15"/>
      <c r="C10699" s="32">
        <v>130</v>
      </c>
    </row>
    <row r="10700" spans="1:3" x14ac:dyDescent="0.25">
      <c r="A10700" s="12" t="str">
        <f>("80-0125")</f>
        <v>80-0125</v>
      </c>
      <c r="B10700" s="15"/>
      <c r="C10700" s="32">
        <v>130</v>
      </c>
    </row>
    <row r="10701" spans="1:3" x14ac:dyDescent="0.25">
      <c r="A10701" s="12" t="str">
        <f>("80-0134")</f>
        <v>80-0134</v>
      </c>
      <c r="B10701" s="15" t="s">
        <v>14890</v>
      </c>
      <c r="C10701" s="32">
        <v>5</v>
      </c>
    </row>
    <row r="10702" spans="1:3" x14ac:dyDescent="0.25">
      <c r="A10702" s="12" t="str">
        <f>("80-0158")</f>
        <v>80-0158</v>
      </c>
      <c r="B10702" s="15" t="s">
        <v>14891</v>
      </c>
      <c r="C10702" s="32">
        <v>78.75</v>
      </c>
    </row>
    <row r="10703" spans="1:3" x14ac:dyDescent="0.25">
      <c r="A10703" s="12" t="str">
        <f>("80-0220")</f>
        <v>80-0220</v>
      </c>
      <c r="B10703" s="15" t="s">
        <v>14892</v>
      </c>
      <c r="C10703" s="32">
        <v>26.25</v>
      </c>
    </row>
    <row r="10704" spans="1:3" x14ac:dyDescent="0.25">
      <c r="A10704" s="12" t="str">
        <f>("80-0221")</f>
        <v>80-0221</v>
      </c>
      <c r="B10704" s="15" t="s">
        <v>14893</v>
      </c>
      <c r="C10704" s="32">
        <v>26.25</v>
      </c>
    </row>
    <row r="10705" spans="1:3" x14ac:dyDescent="0.25">
      <c r="A10705" s="12" t="str">
        <f>("80-21715")</f>
        <v>80-21715</v>
      </c>
      <c r="B10705" s="15" t="s">
        <v>14894</v>
      </c>
      <c r="C10705" s="32">
        <v>13.75</v>
      </c>
    </row>
    <row r="10706" spans="1:3" x14ac:dyDescent="0.25">
      <c r="A10706" s="12" t="str">
        <f>("80-27647-3")</f>
        <v>80-27647-3</v>
      </c>
      <c r="B10706" s="15"/>
      <c r="C10706" s="32">
        <v>6.25</v>
      </c>
    </row>
    <row r="10707" spans="1:3" x14ac:dyDescent="0.25">
      <c r="A10707" s="12" t="str">
        <f>("80-27647-4")</f>
        <v>80-27647-4</v>
      </c>
      <c r="B10707" s="15"/>
      <c r="C10707" s="32">
        <v>6.25</v>
      </c>
    </row>
    <row r="10708" spans="1:3" x14ac:dyDescent="0.25">
      <c r="A10708" s="12" t="str">
        <f>("80-28534")</f>
        <v>80-28534</v>
      </c>
      <c r="B10708" s="15"/>
      <c r="C10708" s="32">
        <v>16.25</v>
      </c>
    </row>
    <row r="10709" spans="1:3" x14ac:dyDescent="0.25">
      <c r="A10709" s="12" t="str">
        <f>("80-285345-1")</f>
        <v>80-285345-1</v>
      </c>
      <c r="B10709" s="15"/>
      <c r="C10709" s="32">
        <v>17.5</v>
      </c>
    </row>
    <row r="10710" spans="1:3" x14ac:dyDescent="0.25">
      <c r="A10710" s="12" t="str">
        <f>("80-285345-2")</f>
        <v>80-285345-2</v>
      </c>
      <c r="B10710" s="15"/>
      <c r="C10710" s="32">
        <v>30</v>
      </c>
    </row>
    <row r="10711" spans="1:3" x14ac:dyDescent="0.25">
      <c r="A10711" s="12" t="str">
        <f>("80-28715")</f>
        <v>80-28715</v>
      </c>
      <c r="B10711" s="15" t="s">
        <v>14895</v>
      </c>
      <c r="C10711" s="32">
        <v>13.75</v>
      </c>
    </row>
    <row r="10712" spans="1:3" x14ac:dyDescent="0.25">
      <c r="A10712" s="12" t="str">
        <f>("80-3514005-2")</f>
        <v>80-3514005-2</v>
      </c>
      <c r="B10712" s="15"/>
      <c r="C10712" s="32">
        <v>891.25</v>
      </c>
    </row>
    <row r="10713" spans="1:3" x14ac:dyDescent="0.25">
      <c r="A10713" s="12" t="str">
        <f>("80-PL20")</f>
        <v>80-PL20</v>
      </c>
      <c r="B10713" s="15" t="s">
        <v>14896</v>
      </c>
      <c r="C10713" s="32">
        <v>123.75</v>
      </c>
    </row>
    <row r="10714" spans="1:3" x14ac:dyDescent="0.25">
      <c r="A10714" s="12" t="str">
        <f>("88-0005")</f>
        <v>88-0005</v>
      </c>
      <c r="B10714" s="15" t="s">
        <v>14897</v>
      </c>
      <c r="C10714" s="32">
        <v>25</v>
      </c>
    </row>
    <row r="10715" spans="1:3" x14ac:dyDescent="0.25">
      <c r="A10715" s="12" t="str">
        <f>("88-0015")</f>
        <v>88-0015</v>
      </c>
      <c r="B10715" s="15" t="s">
        <v>14898</v>
      </c>
      <c r="C10715" s="32">
        <v>21.25</v>
      </c>
    </row>
    <row r="10716" spans="1:3" x14ac:dyDescent="0.25">
      <c r="A10716" s="12" t="str">
        <f>("88-0025")</f>
        <v>88-0025</v>
      </c>
      <c r="B10716" s="15" t="s">
        <v>14897</v>
      </c>
      <c r="C10716" s="32">
        <v>25</v>
      </c>
    </row>
    <row r="10717" spans="1:3" x14ac:dyDescent="0.25">
      <c r="A10717" s="12" t="str">
        <f>("88-0035")</f>
        <v>88-0035</v>
      </c>
      <c r="B10717" s="15" t="s">
        <v>14898</v>
      </c>
      <c r="C10717" s="32">
        <v>21.25</v>
      </c>
    </row>
    <row r="10718" spans="1:3" x14ac:dyDescent="0.25">
      <c r="A10718" s="12" t="str">
        <f>("19-11100")</f>
        <v>19-11100</v>
      </c>
      <c r="B10718" s="15"/>
      <c r="C10718" s="32">
        <v>431.25</v>
      </c>
    </row>
    <row r="10719" spans="1:3" x14ac:dyDescent="0.25">
      <c r="A10719" s="12" t="str">
        <f>("19-21100")</f>
        <v>19-21100</v>
      </c>
      <c r="B10719" s="15"/>
      <c r="C10719" s="32">
        <v>431.25</v>
      </c>
    </row>
    <row r="10720" spans="1:3" x14ac:dyDescent="0.25">
      <c r="A10720" s="12" t="str">
        <f>("19-41100")</f>
        <v>19-41100</v>
      </c>
      <c r="B10720" s="15"/>
      <c r="C10720" s="32">
        <v>1293.75</v>
      </c>
    </row>
    <row r="10721" spans="1:3" x14ac:dyDescent="0.25">
      <c r="A10721" s="12" t="str">
        <f>("20-55405")</f>
        <v>20-55405</v>
      </c>
      <c r="B10721" s="15"/>
      <c r="C10721" s="32">
        <v>227.5</v>
      </c>
    </row>
    <row r="10722" spans="1:3" x14ac:dyDescent="0.25">
      <c r="A10722" s="12" t="str">
        <f>("21-52400")</f>
        <v>21-52400</v>
      </c>
      <c r="B10722" s="15" t="s">
        <v>14899</v>
      </c>
      <c r="C10722" s="32">
        <v>276.25</v>
      </c>
    </row>
    <row r="10723" spans="1:3" x14ac:dyDescent="0.25">
      <c r="A10723" s="12" t="str">
        <f>("21-52405")</f>
        <v>21-52405</v>
      </c>
      <c r="B10723" s="15" t="s">
        <v>14899</v>
      </c>
      <c r="C10723" s="32">
        <v>151.25</v>
      </c>
    </row>
    <row r="10724" spans="1:3" x14ac:dyDescent="0.25">
      <c r="A10724" s="12" t="str">
        <f>("21-55400")</f>
        <v>21-55400</v>
      </c>
      <c r="B10724" s="15" t="s">
        <v>14900</v>
      </c>
      <c r="C10724" s="32">
        <v>276.25</v>
      </c>
    </row>
    <row r="10725" spans="1:3" x14ac:dyDescent="0.25">
      <c r="A10725" s="12" t="str">
        <f>("21-55405")</f>
        <v>21-55405</v>
      </c>
      <c r="B10725" s="15" t="s">
        <v>14900</v>
      </c>
      <c r="C10725" s="32">
        <v>151.25</v>
      </c>
    </row>
    <row r="10726" spans="1:3" x14ac:dyDescent="0.25">
      <c r="A10726" s="12" t="str">
        <f>("21-65405")</f>
        <v>21-65405</v>
      </c>
      <c r="B10726" s="15" t="s">
        <v>14901</v>
      </c>
      <c r="C10726" s="32">
        <v>153.75</v>
      </c>
    </row>
    <row r="10727" spans="1:3" x14ac:dyDescent="0.25">
      <c r="A10727" s="12" t="str">
        <f>("23-5470")</f>
        <v>23-5470</v>
      </c>
      <c r="B10727" s="15" t="s">
        <v>14902</v>
      </c>
      <c r="C10727" s="32">
        <v>207.5</v>
      </c>
    </row>
    <row r="10728" spans="1:3" x14ac:dyDescent="0.25">
      <c r="A10728" s="12" t="str">
        <f>("27-5790")</f>
        <v>27-5790</v>
      </c>
      <c r="B10728" s="15" t="s">
        <v>14903</v>
      </c>
      <c r="C10728" s="32">
        <v>542.5</v>
      </c>
    </row>
    <row r="10729" spans="1:3" x14ac:dyDescent="0.25">
      <c r="A10729" s="12" t="str">
        <f>("27-5795")</f>
        <v>27-5795</v>
      </c>
      <c r="B10729" s="15" t="s">
        <v>14903</v>
      </c>
      <c r="C10729" s="32">
        <v>425</v>
      </c>
    </row>
    <row r="10730" spans="1:3" x14ac:dyDescent="0.25">
      <c r="A10730" s="12" t="str">
        <f>("27-6420")</f>
        <v>27-6420</v>
      </c>
      <c r="B10730" s="15" t="s">
        <v>14904</v>
      </c>
      <c r="C10730" s="32">
        <v>188.75</v>
      </c>
    </row>
    <row r="10731" spans="1:3" x14ac:dyDescent="0.25">
      <c r="A10731" s="12" t="str">
        <f>("27-75475")</f>
        <v>27-75475</v>
      </c>
      <c r="B10731" s="15" t="s">
        <v>14905</v>
      </c>
      <c r="C10731" s="32">
        <v>178.75</v>
      </c>
    </row>
    <row r="10732" spans="1:3" x14ac:dyDescent="0.25">
      <c r="A10732" s="12" t="str">
        <f>("28-31000")</f>
        <v>28-31000</v>
      </c>
      <c r="B10732" s="15" t="s">
        <v>14906</v>
      </c>
      <c r="C10732" s="32">
        <v>227.5</v>
      </c>
    </row>
    <row r="10733" spans="1:3" x14ac:dyDescent="0.25">
      <c r="A10733" s="12" t="str">
        <f>("28-55400")</f>
        <v>28-55400</v>
      </c>
      <c r="B10733" s="15" t="s">
        <v>14903</v>
      </c>
      <c r="C10733" s="32">
        <v>276.25</v>
      </c>
    </row>
    <row r="10734" spans="1:3" x14ac:dyDescent="0.25">
      <c r="A10734" s="12" t="str">
        <f>("28-55405")</f>
        <v>28-55405</v>
      </c>
      <c r="B10734" s="15" t="s">
        <v>14903</v>
      </c>
      <c r="C10734" s="32">
        <v>151.25</v>
      </c>
    </row>
    <row r="10735" spans="1:3" x14ac:dyDescent="0.25">
      <c r="A10735" s="12" t="str">
        <f>("28-75400")</f>
        <v>28-75400</v>
      </c>
      <c r="B10735" s="15" t="s">
        <v>14903</v>
      </c>
      <c r="C10735" s="32">
        <v>276.25</v>
      </c>
    </row>
    <row r="10736" spans="1:3" x14ac:dyDescent="0.25">
      <c r="A10736" s="12" t="str">
        <f>("28-75405")</f>
        <v>28-75405</v>
      </c>
      <c r="B10736" s="15" t="s">
        <v>14903</v>
      </c>
      <c r="C10736" s="32">
        <v>151.25</v>
      </c>
    </row>
    <row r="10737" spans="1:3" x14ac:dyDescent="0.25">
      <c r="A10737" s="12" t="str">
        <f>("28-85405")</f>
        <v>28-85405</v>
      </c>
      <c r="B10737" s="15" t="s">
        <v>14907</v>
      </c>
      <c r="C10737" s="32">
        <v>276.25</v>
      </c>
    </row>
    <row r="10738" spans="1:3" x14ac:dyDescent="0.25">
      <c r="A10738" s="12" t="str">
        <f>("29-22005")</f>
        <v>29-22005</v>
      </c>
      <c r="B10738" s="15" t="s">
        <v>14908</v>
      </c>
      <c r="C10738" s="32">
        <v>1815</v>
      </c>
    </row>
    <row r="10739" spans="1:3" x14ac:dyDescent="0.25">
      <c r="A10739" s="12" t="str">
        <f>("29-22005A")</f>
        <v>29-22005A</v>
      </c>
      <c r="B10739" s="15" t="s">
        <v>14908</v>
      </c>
      <c r="C10739" s="32">
        <v>907.5</v>
      </c>
    </row>
    <row r="10740" spans="1:3" x14ac:dyDescent="0.25">
      <c r="A10740" s="12" t="str">
        <f>("29-22005B")</f>
        <v>29-22005B</v>
      </c>
      <c r="B10740" s="15" t="s">
        <v>14908</v>
      </c>
      <c r="C10740" s="32">
        <v>881.25</v>
      </c>
    </row>
    <row r="10741" spans="1:3" x14ac:dyDescent="0.25">
      <c r="A10741" s="12" t="str">
        <f>("42-6545")</f>
        <v>42-6545</v>
      </c>
      <c r="B10741" s="15" t="s">
        <v>14907</v>
      </c>
      <c r="C10741" s="32">
        <v>213.75</v>
      </c>
    </row>
    <row r="10742" spans="1:3" x14ac:dyDescent="0.25">
      <c r="A10742" s="12" t="str">
        <f>("55026")</f>
        <v>55026</v>
      </c>
      <c r="B10742" s="15" t="s">
        <v>14909</v>
      </c>
      <c r="C10742" s="32">
        <v>0</v>
      </c>
    </row>
    <row r="10743" spans="1:3" x14ac:dyDescent="0.25">
      <c r="A10743" s="12" t="str">
        <f>("55028")</f>
        <v>55028</v>
      </c>
      <c r="B10743" s="15" t="s">
        <v>14910</v>
      </c>
      <c r="C10743" s="32">
        <v>55</v>
      </c>
    </row>
    <row r="10744" spans="1:3" x14ac:dyDescent="0.25">
      <c r="A10744" s="12" t="str">
        <f>("55037")</f>
        <v>55037</v>
      </c>
      <c r="B10744" s="15" t="s">
        <v>14911</v>
      </c>
      <c r="C10744" s="32">
        <v>0</v>
      </c>
    </row>
    <row r="10745" spans="1:3" x14ac:dyDescent="0.25">
      <c r="A10745" s="12" t="str">
        <f>("55309")</f>
        <v>55309</v>
      </c>
      <c r="B10745" s="15" t="s">
        <v>14912</v>
      </c>
      <c r="C10745" s="32">
        <v>8021.25</v>
      </c>
    </row>
    <row r="10746" spans="1:3" x14ac:dyDescent="0.25">
      <c r="A10746" s="12" t="str">
        <f>("55409-02")</f>
        <v>55409-02</v>
      </c>
      <c r="B10746" s="15" t="s">
        <v>14913</v>
      </c>
      <c r="C10746" s="32">
        <v>798.75</v>
      </c>
    </row>
    <row r="10747" spans="1:3" x14ac:dyDescent="0.25">
      <c r="A10747" s="12" t="str">
        <f>("55411")</f>
        <v>55411</v>
      </c>
      <c r="B10747" s="15" t="s">
        <v>14914</v>
      </c>
      <c r="C10747" s="32">
        <v>0</v>
      </c>
    </row>
    <row r="10748" spans="1:3" x14ac:dyDescent="0.25">
      <c r="A10748" s="12" t="str">
        <f>("55417")</f>
        <v>55417</v>
      </c>
      <c r="B10748" s="15" t="s">
        <v>14915</v>
      </c>
      <c r="C10748" s="32">
        <v>0</v>
      </c>
    </row>
    <row r="10749" spans="1:3" x14ac:dyDescent="0.25">
      <c r="A10749" s="12" t="str">
        <f>("55470")</f>
        <v>55470</v>
      </c>
      <c r="B10749" s="15" t="s">
        <v>14916</v>
      </c>
      <c r="C10749" s="32">
        <v>238.75</v>
      </c>
    </row>
    <row r="10750" spans="1:3" ht="47.25" x14ac:dyDescent="0.25">
      <c r="A10750" s="12" t="str">
        <f>("55476")</f>
        <v>55476</v>
      </c>
      <c r="B10750" s="15" t="s">
        <v>14917</v>
      </c>
      <c r="C10750" s="32">
        <v>1540</v>
      </c>
    </row>
    <row r="10751" spans="1:3" x14ac:dyDescent="0.25">
      <c r="A10751" s="12" t="str">
        <f>("55477")</f>
        <v>55477</v>
      </c>
      <c r="B10751" s="15" t="s">
        <v>14918</v>
      </c>
      <c r="C10751" s="32">
        <v>0</v>
      </c>
    </row>
    <row r="10752" spans="1:3" x14ac:dyDescent="0.25">
      <c r="A10752" s="12" t="str">
        <f>("55570")</f>
        <v>55570</v>
      </c>
      <c r="B10752" s="15" t="s">
        <v>14919</v>
      </c>
      <c r="C10752" s="32">
        <v>381.25</v>
      </c>
    </row>
    <row r="10753" spans="1:3" x14ac:dyDescent="0.25">
      <c r="A10753" s="12" t="str">
        <f>("55660")</f>
        <v>55660</v>
      </c>
      <c r="B10753" s="15" t="s">
        <v>14920</v>
      </c>
      <c r="C10753" s="32">
        <v>481.25</v>
      </c>
    </row>
    <row r="10754" spans="1:3" x14ac:dyDescent="0.25">
      <c r="A10754" s="12" t="str">
        <f>("55701")</f>
        <v>55701</v>
      </c>
      <c r="B10754" s="15" t="s">
        <v>14921</v>
      </c>
      <c r="C10754" s="32">
        <v>331.25</v>
      </c>
    </row>
    <row r="10755" spans="1:3" x14ac:dyDescent="0.25">
      <c r="A10755" s="12" t="str">
        <f>("55785")</f>
        <v>55785</v>
      </c>
      <c r="B10755" s="15" t="s">
        <v>14922</v>
      </c>
      <c r="C10755" s="32">
        <v>1062.5</v>
      </c>
    </row>
    <row r="10756" spans="1:3" x14ac:dyDescent="0.25">
      <c r="A10756" s="12" t="str">
        <f>("56-15405")</f>
        <v>56-15405</v>
      </c>
      <c r="B10756" s="15" t="s">
        <v>14923</v>
      </c>
      <c r="C10756" s="32">
        <v>276.25</v>
      </c>
    </row>
    <row r="10757" spans="1:3" x14ac:dyDescent="0.25">
      <c r="A10757" s="12" t="str">
        <f>("56-154052")</f>
        <v>56-154052</v>
      </c>
      <c r="B10757" s="15" t="s">
        <v>14923</v>
      </c>
      <c r="C10757" s="32">
        <v>165</v>
      </c>
    </row>
    <row r="10758" spans="1:3" x14ac:dyDescent="0.25">
      <c r="A10758" s="12" t="str">
        <f>("56-25405")</f>
        <v>56-25405</v>
      </c>
      <c r="B10758" s="15" t="s">
        <v>14923</v>
      </c>
      <c r="C10758" s="32">
        <v>276.25</v>
      </c>
    </row>
    <row r="10759" spans="1:3" x14ac:dyDescent="0.25">
      <c r="A10759" s="12" t="str">
        <f>("SW01")</f>
        <v>SW01</v>
      </c>
      <c r="B10759" s="15" t="s">
        <v>14924</v>
      </c>
      <c r="C10759" s="32">
        <v>0</v>
      </c>
    </row>
    <row r="10760" spans="1:3" x14ac:dyDescent="0.25">
      <c r="A10760" s="12" t="str">
        <f>("SWMINICAT2025")</f>
        <v>SWMINICAT2025</v>
      </c>
      <c r="B10760" s="15" t="s">
        <v>14925</v>
      </c>
      <c r="C10760" s="32">
        <v>2.5</v>
      </c>
    </row>
    <row r="10761" spans="1:3" x14ac:dyDescent="0.25">
      <c r="A10761" s="12" t="str">
        <f>("SWTS-L")</f>
        <v>SWTS-L</v>
      </c>
      <c r="B10761" s="15" t="s">
        <v>14926</v>
      </c>
      <c r="C10761" s="32">
        <v>46.25</v>
      </c>
    </row>
    <row r="10762" spans="1:3" x14ac:dyDescent="0.25">
      <c r="A10762" s="12" t="str">
        <f>("SWTS-M")</f>
        <v>SWTS-M</v>
      </c>
      <c r="B10762" s="15" t="s">
        <v>14927</v>
      </c>
      <c r="C10762" s="32">
        <v>46.25</v>
      </c>
    </row>
    <row r="10763" spans="1:3" x14ac:dyDescent="0.25">
      <c r="A10763" s="12" t="str">
        <f>("SWTS-S")</f>
        <v>SWTS-S</v>
      </c>
      <c r="B10763" s="15" t="s">
        <v>14928</v>
      </c>
      <c r="C10763" s="32">
        <v>46.25</v>
      </c>
    </row>
    <row r="10764" spans="1:3" x14ac:dyDescent="0.25">
      <c r="A10764" s="12" t="str">
        <f>("SWTS-XL")</f>
        <v>SWTS-XL</v>
      </c>
      <c r="B10764" s="15" t="s">
        <v>14929</v>
      </c>
      <c r="C10764" s="32">
        <v>46.25</v>
      </c>
    </row>
    <row r="10765" spans="1:3" x14ac:dyDescent="0.25">
      <c r="A10765" s="12" t="str">
        <f>("SWTS-XXL")</f>
        <v>SWTS-XXL</v>
      </c>
      <c r="B10765" s="15" t="s">
        <v>14930</v>
      </c>
      <c r="C10765" s="32">
        <v>46.25</v>
      </c>
    </row>
    <row r="10766" spans="1:3" x14ac:dyDescent="0.25">
      <c r="A10766" s="12" t="str">
        <f>("SWTS-XXXL")</f>
        <v>SWTS-XXXL</v>
      </c>
      <c r="B10766" s="15" t="s">
        <v>14931</v>
      </c>
      <c r="C10766" s="32">
        <v>46.25</v>
      </c>
    </row>
    <row r="10767" spans="1:3" x14ac:dyDescent="0.25">
      <c r="A10767" s="12" t="str">
        <f>("W02")</f>
        <v>W02</v>
      </c>
      <c r="B10767" s="15" t="s">
        <v>14932</v>
      </c>
      <c r="C10767" s="32">
        <v>0</v>
      </c>
    </row>
    <row r="10768" spans="1:3" x14ac:dyDescent="0.25">
      <c r="A10768" s="12" t="str">
        <f>("W17")</f>
        <v>W17</v>
      </c>
      <c r="B10768" s="15" t="s">
        <v>14933</v>
      </c>
      <c r="C10768" s="32">
        <v>0</v>
      </c>
    </row>
    <row r="10769" spans="1:3" x14ac:dyDescent="0.25">
      <c r="A10769" s="12" t="str">
        <f>("W18")</f>
        <v>W18</v>
      </c>
      <c r="B10769" s="15" t="s">
        <v>14934</v>
      </c>
      <c r="C10769" s="32">
        <v>0</v>
      </c>
    </row>
    <row r="10770" spans="1:3" x14ac:dyDescent="0.25">
      <c r="A10770" s="12" t="str">
        <f>("WMINICAT2025")</f>
        <v>WMINICAT2025</v>
      </c>
      <c r="B10770" s="15" t="s">
        <v>14935</v>
      </c>
      <c r="C10770" s="32">
        <v>2.5</v>
      </c>
    </row>
    <row r="10771" spans="1:3" x14ac:dyDescent="0.25">
      <c r="A10771" s="12" t="str">
        <f>("WPS13")</f>
        <v>WPS13</v>
      </c>
      <c r="B10771" s="15" t="s">
        <v>14936</v>
      </c>
      <c r="C10771" s="32">
        <v>0</v>
      </c>
    </row>
    <row r="10772" spans="1:3" x14ac:dyDescent="0.25">
      <c r="A10772" s="12" t="str">
        <f>("WPSHGW")</f>
        <v>WPSHGW</v>
      </c>
      <c r="B10772" s="15" t="s">
        <v>14937</v>
      </c>
      <c r="C10772" s="32">
        <v>36.25</v>
      </c>
    </row>
    <row r="10773" spans="1:3" x14ac:dyDescent="0.25">
      <c r="A10773" s="12" t="str">
        <f>("WPSHNW")</f>
        <v>WPSHNW</v>
      </c>
      <c r="B10773" s="15" t="s">
        <v>14938</v>
      </c>
      <c r="C10773" s="32">
        <v>36.25</v>
      </c>
    </row>
    <row r="10774" spans="1:3" x14ac:dyDescent="0.25">
      <c r="A10774" s="12" t="str">
        <f>("WSNP-24-10")</f>
        <v>WSNP-24-10</v>
      </c>
      <c r="B10774" s="15" t="s">
        <v>14939</v>
      </c>
      <c r="C10774" s="32">
        <v>0</v>
      </c>
    </row>
    <row r="10775" spans="1:3" x14ac:dyDescent="0.25">
      <c r="A10775" s="12" t="str">
        <f>("WTS-L")</f>
        <v>WTS-L</v>
      </c>
      <c r="B10775" s="15" t="s">
        <v>14940</v>
      </c>
      <c r="C10775" s="32">
        <v>46.25</v>
      </c>
    </row>
    <row r="10776" spans="1:3" x14ac:dyDescent="0.25">
      <c r="A10776" s="12" t="str">
        <f>("WTS-M")</f>
        <v>WTS-M</v>
      </c>
      <c r="B10776" s="15" t="s">
        <v>14941</v>
      </c>
      <c r="C10776" s="32">
        <v>46.25</v>
      </c>
    </row>
    <row r="10777" spans="1:3" x14ac:dyDescent="0.25">
      <c r="A10777" s="12" t="str">
        <f>("WTS-S")</f>
        <v>WTS-S</v>
      </c>
      <c r="B10777" s="15" t="s">
        <v>14942</v>
      </c>
      <c r="C10777" s="32">
        <v>46.25</v>
      </c>
    </row>
    <row r="10778" spans="1:3" x14ac:dyDescent="0.25">
      <c r="A10778" s="12" t="str">
        <f>("WTS-XL")</f>
        <v>WTS-XL</v>
      </c>
      <c r="B10778" s="15" t="s">
        <v>14943</v>
      </c>
      <c r="C10778" s="32">
        <v>46.25</v>
      </c>
    </row>
    <row r="10779" spans="1:3" x14ac:dyDescent="0.25">
      <c r="A10779" s="12" t="str">
        <f>("WTS-XXL")</f>
        <v>WTS-XXL</v>
      </c>
      <c r="B10779" s="15" t="s">
        <v>14944</v>
      </c>
      <c r="C10779" s="32">
        <v>46.25</v>
      </c>
    </row>
    <row r="10780" spans="1:3" x14ac:dyDescent="0.25">
      <c r="A10780" s="12" t="str">
        <f>("WTS-XXXL")</f>
        <v>WTS-XXXL</v>
      </c>
      <c r="B10780" s="15" t="s">
        <v>14945</v>
      </c>
      <c r="C10780" s="32">
        <v>46.25</v>
      </c>
    </row>
    <row r="10781" spans="1:3" x14ac:dyDescent="0.25">
      <c r="A10781" s="12" t="str">
        <f>("100-0001")</f>
        <v>100-0001</v>
      </c>
      <c r="B10781" s="15" t="s">
        <v>14946</v>
      </c>
      <c r="C10781" s="32">
        <v>283.75</v>
      </c>
    </row>
    <row r="10782" spans="1:3" x14ac:dyDescent="0.25">
      <c r="A10782" s="12" t="str">
        <f>("100-0002")</f>
        <v>100-0002</v>
      </c>
      <c r="B10782" s="15"/>
      <c r="C10782" s="32">
        <v>133.75</v>
      </c>
    </row>
    <row r="10783" spans="1:3" ht="31.5" x14ac:dyDescent="0.25">
      <c r="A10783" s="12" t="str">
        <f>("100-0003")</f>
        <v>100-0003</v>
      </c>
      <c r="B10783" s="15" t="s">
        <v>14947</v>
      </c>
      <c r="C10783" s="32">
        <v>132.5</v>
      </c>
    </row>
    <row r="10784" spans="1:3" x14ac:dyDescent="0.25">
      <c r="A10784" s="12" t="str">
        <f>("100-0004")</f>
        <v>100-0004</v>
      </c>
      <c r="B10784" s="15" t="s">
        <v>14948</v>
      </c>
      <c r="C10784" s="32">
        <v>83.75</v>
      </c>
    </row>
    <row r="10785" spans="1:3" x14ac:dyDescent="0.25">
      <c r="A10785" s="12" t="str">
        <f>("100-0006")</f>
        <v>100-0006</v>
      </c>
      <c r="B10785" s="15" t="s">
        <v>14949</v>
      </c>
      <c r="C10785" s="32">
        <v>15</v>
      </c>
    </row>
    <row r="10786" spans="1:3" x14ac:dyDescent="0.25">
      <c r="A10786" s="12" t="str">
        <f>("100-0007")</f>
        <v>100-0007</v>
      </c>
      <c r="B10786" s="15" t="s">
        <v>14950</v>
      </c>
      <c r="C10786" s="32">
        <v>15</v>
      </c>
    </row>
    <row r="10787" spans="1:3" x14ac:dyDescent="0.25">
      <c r="A10787" s="12" t="str">
        <f>("100-0009")</f>
        <v>100-0009</v>
      </c>
      <c r="B10787" s="15"/>
      <c r="C10787" s="32">
        <v>21.25</v>
      </c>
    </row>
    <row r="10788" spans="1:3" x14ac:dyDescent="0.25">
      <c r="A10788" s="12" t="str">
        <f>("100-0010")</f>
        <v>100-0010</v>
      </c>
      <c r="B10788" s="15" t="s">
        <v>14951</v>
      </c>
      <c r="C10788" s="32">
        <v>16.25</v>
      </c>
    </row>
    <row r="10789" spans="1:3" x14ac:dyDescent="0.25">
      <c r="A10789" s="12" t="str">
        <f>("100-0011")</f>
        <v>100-0011</v>
      </c>
      <c r="B10789" s="15" t="s">
        <v>14952</v>
      </c>
      <c r="C10789" s="32">
        <v>33.75</v>
      </c>
    </row>
    <row r="10790" spans="1:3" x14ac:dyDescent="0.25">
      <c r="A10790" s="12" t="str">
        <f>("100-0012")</f>
        <v>100-0012</v>
      </c>
      <c r="B10790" s="15" t="s">
        <v>14953</v>
      </c>
      <c r="C10790" s="32">
        <v>33.75</v>
      </c>
    </row>
    <row r="10791" spans="1:3" x14ac:dyDescent="0.25">
      <c r="A10791" s="12" t="str">
        <f>("100-0013")</f>
        <v>100-0013</v>
      </c>
      <c r="B10791" s="15" t="s">
        <v>14954</v>
      </c>
      <c r="C10791" s="32">
        <v>16.25</v>
      </c>
    </row>
    <row r="10792" spans="1:3" x14ac:dyDescent="0.25">
      <c r="A10792" s="12" t="str">
        <f>("100-0014")</f>
        <v>100-0014</v>
      </c>
      <c r="B10792" s="15" t="s">
        <v>14955</v>
      </c>
      <c r="C10792" s="32">
        <v>31.25</v>
      </c>
    </row>
    <row r="10793" spans="1:3" x14ac:dyDescent="0.25">
      <c r="A10793" s="12" t="str">
        <f>("100-0015")</f>
        <v>100-0015</v>
      </c>
      <c r="B10793" s="15" t="s">
        <v>14956</v>
      </c>
      <c r="C10793" s="32">
        <v>5</v>
      </c>
    </row>
    <row r="10794" spans="1:3" x14ac:dyDescent="0.25">
      <c r="A10794" s="12" t="str">
        <f>("100-0016")</f>
        <v>100-0016</v>
      </c>
      <c r="B10794" s="15" t="s">
        <v>14957</v>
      </c>
      <c r="C10794" s="32">
        <v>5</v>
      </c>
    </row>
    <row r="10795" spans="1:3" x14ac:dyDescent="0.25">
      <c r="A10795" s="12" t="str">
        <f>("100-0018")</f>
        <v>100-0018</v>
      </c>
      <c r="B10795" s="15" t="s">
        <v>14958</v>
      </c>
      <c r="C10795" s="32">
        <v>62.5</v>
      </c>
    </row>
    <row r="10796" spans="1:3" x14ac:dyDescent="0.25">
      <c r="A10796" s="12" t="str">
        <f>("100-0019")</f>
        <v>100-0019</v>
      </c>
      <c r="B10796" s="15" t="s">
        <v>14959</v>
      </c>
      <c r="C10796" s="32">
        <v>85</v>
      </c>
    </row>
    <row r="10797" spans="1:3" x14ac:dyDescent="0.25">
      <c r="A10797" s="12" t="str">
        <f>("100-0020")</f>
        <v>100-0020</v>
      </c>
      <c r="B10797" s="15" t="s">
        <v>14960</v>
      </c>
      <c r="C10797" s="32">
        <v>103.75</v>
      </c>
    </row>
    <row r="10798" spans="1:3" x14ac:dyDescent="0.25">
      <c r="A10798" s="12" t="str">
        <f>("100-0021")</f>
        <v>100-0021</v>
      </c>
      <c r="B10798" s="15" t="s">
        <v>14961</v>
      </c>
      <c r="C10798" s="32">
        <v>103.75</v>
      </c>
    </row>
    <row r="10799" spans="1:3" x14ac:dyDescent="0.25">
      <c r="A10799" s="12" t="str">
        <f>("100-0022")</f>
        <v>100-0022</v>
      </c>
      <c r="B10799" s="15" t="s">
        <v>14962</v>
      </c>
      <c r="C10799" s="32">
        <v>71.25</v>
      </c>
    </row>
    <row r="10800" spans="1:3" x14ac:dyDescent="0.25">
      <c r="A10800" s="12" t="str">
        <f>("100-0023")</f>
        <v>100-0023</v>
      </c>
      <c r="B10800" s="15" t="s">
        <v>14963</v>
      </c>
      <c r="C10800" s="32">
        <v>82.5</v>
      </c>
    </row>
    <row r="10801" spans="1:3" x14ac:dyDescent="0.25">
      <c r="A10801" s="12" t="str">
        <f>("100-0024")</f>
        <v>100-0024</v>
      </c>
      <c r="B10801" s="15"/>
      <c r="C10801" s="32">
        <v>91.25</v>
      </c>
    </row>
    <row r="10802" spans="1:3" x14ac:dyDescent="0.25">
      <c r="A10802" s="12" t="str">
        <f>("100-0025")</f>
        <v>100-0025</v>
      </c>
      <c r="B10802" s="15" t="s">
        <v>14964</v>
      </c>
      <c r="C10802" s="32">
        <v>93.75</v>
      </c>
    </row>
    <row r="10803" spans="1:3" x14ac:dyDescent="0.25">
      <c r="A10803" s="12" t="str">
        <f>("100-0026")</f>
        <v>100-0026</v>
      </c>
      <c r="B10803" s="15" t="s">
        <v>14965</v>
      </c>
      <c r="C10803" s="32">
        <v>120</v>
      </c>
    </row>
    <row r="10804" spans="1:3" x14ac:dyDescent="0.25">
      <c r="A10804" s="12" t="str">
        <f>("100-0028")</f>
        <v>100-0028</v>
      </c>
      <c r="B10804" s="15" t="s">
        <v>14966</v>
      </c>
      <c r="C10804" s="32">
        <v>120</v>
      </c>
    </row>
    <row r="10805" spans="1:3" x14ac:dyDescent="0.25">
      <c r="A10805" s="12" t="str">
        <f>("100-0029")</f>
        <v>100-0029</v>
      </c>
      <c r="B10805" s="15" t="s">
        <v>14967</v>
      </c>
      <c r="C10805" s="32">
        <v>147.5</v>
      </c>
    </row>
    <row r="10806" spans="1:3" x14ac:dyDescent="0.25">
      <c r="A10806" s="12" t="str">
        <f>("100-0030")</f>
        <v>100-0030</v>
      </c>
      <c r="B10806" s="15"/>
      <c r="C10806" s="32">
        <v>147.5</v>
      </c>
    </row>
    <row r="10807" spans="1:3" ht="31.5" x14ac:dyDescent="0.25">
      <c r="A10807" s="12" t="str">
        <f>("100-0031")</f>
        <v>100-0031</v>
      </c>
      <c r="B10807" s="15" t="s">
        <v>14968</v>
      </c>
      <c r="C10807" s="32">
        <v>157.5</v>
      </c>
    </row>
    <row r="10808" spans="1:3" x14ac:dyDescent="0.25">
      <c r="A10808" s="12" t="str">
        <f>("100-0032")</f>
        <v>100-0032</v>
      </c>
      <c r="B10808" s="15" t="s">
        <v>14969</v>
      </c>
      <c r="C10808" s="32">
        <v>142.5</v>
      </c>
    </row>
    <row r="10809" spans="1:3" x14ac:dyDescent="0.25">
      <c r="A10809" s="12" t="str">
        <f>("100-0033")</f>
        <v>100-0033</v>
      </c>
      <c r="B10809" s="15" t="s">
        <v>14970</v>
      </c>
      <c r="C10809" s="32">
        <v>230</v>
      </c>
    </row>
    <row r="10810" spans="1:3" ht="31.5" x14ac:dyDescent="0.25">
      <c r="A10810" s="12" t="str">
        <f>("100-0034")</f>
        <v>100-0034</v>
      </c>
      <c r="B10810" s="15" t="s">
        <v>14971</v>
      </c>
      <c r="C10810" s="32">
        <v>198.75</v>
      </c>
    </row>
    <row r="10811" spans="1:3" x14ac:dyDescent="0.25">
      <c r="A10811" s="12" t="str">
        <f>("100-0035")</f>
        <v>100-0035</v>
      </c>
      <c r="B10811" s="15" t="s">
        <v>14972</v>
      </c>
      <c r="C10811" s="32">
        <v>198.75</v>
      </c>
    </row>
    <row r="10812" spans="1:3" x14ac:dyDescent="0.25">
      <c r="A10812" s="12" t="str">
        <f>("100-0036")</f>
        <v>100-0036</v>
      </c>
      <c r="B10812" s="15" t="s">
        <v>14973</v>
      </c>
      <c r="C10812" s="32">
        <v>215</v>
      </c>
    </row>
    <row r="10813" spans="1:3" ht="31.5" x14ac:dyDescent="0.25">
      <c r="A10813" s="12" t="str">
        <f>("100-0037")</f>
        <v>100-0037</v>
      </c>
      <c r="B10813" s="15" t="s">
        <v>14974</v>
      </c>
      <c r="C10813" s="32">
        <v>215</v>
      </c>
    </row>
    <row r="10814" spans="1:3" ht="31.5" x14ac:dyDescent="0.25">
      <c r="A10814" s="12" t="str">
        <f>("100-0038")</f>
        <v>100-0038</v>
      </c>
      <c r="B10814" s="15" t="s">
        <v>14975</v>
      </c>
      <c r="C10814" s="32">
        <v>311.25</v>
      </c>
    </row>
    <row r="10815" spans="1:3" x14ac:dyDescent="0.25">
      <c r="A10815" s="12" t="str">
        <f>("100-0040")</f>
        <v>100-0040</v>
      </c>
      <c r="B10815" s="15" t="s">
        <v>14976</v>
      </c>
      <c r="C10815" s="32">
        <v>160</v>
      </c>
    </row>
    <row r="10816" spans="1:3" x14ac:dyDescent="0.25">
      <c r="A10816" s="12" t="str">
        <f>("35-10015")</f>
        <v>35-10015</v>
      </c>
      <c r="B10816" s="15" t="s">
        <v>14977</v>
      </c>
      <c r="C10816" s="32">
        <v>1942.5</v>
      </c>
    </row>
    <row r="10817" spans="1:3" x14ac:dyDescent="0.25">
      <c r="A10817" s="12" t="str">
        <f>("35-10035")</f>
        <v>35-10035</v>
      </c>
      <c r="B10817" s="15" t="s">
        <v>14978</v>
      </c>
      <c r="C10817" s="32">
        <v>1942.5</v>
      </c>
    </row>
    <row r="10818" spans="1:3" x14ac:dyDescent="0.25">
      <c r="A10818" s="12" t="str">
        <f>("35-10065")</f>
        <v>35-10065</v>
      </c>
      <c r="B10818" s="15" t="s">
        <v>14979</v>
      </c>
      <c r="C10818" s="32">
        <v>1942.5</v>
      </c>
    </row>
    <row r="10819" spans="1:3" x14ac:dyDescent="0.25">
      <c r="A10819" s="12" t="str">
        <f>("35-10075")</f>
        <v>35-10075</v>
      </c>
      <c r="B10819" s="15" t="s">
        <v>14980</v>
      </c>
      <c r="C10819" s="32">
        <v>1495</v>
      </c>
    </row>
    <row r="10820" spans="1:3" x14ac:dyDescent="0.25">
      <c r="A10820" s="12" t="str">
        <f>("35-10075-D")</f>
        <v>35-10075-D</v>
      </c>
      <c r="B10820" s="15" t="s">
        <v>14980</v>
      </c>
      <c r="C10820" s="32">
        <v>1057.5</v>
      </c>
    </row>
    <row r="10821" spans="1:3" x14ac:dyDescent="0.25">
      <c r="A10821" s="12" t="str">
        <f>("35-10085")</f>
        <v>35-10085</v>
      </c>
      <c r="B10821" s="15" t="s">
        <v>14981</v>
      </c>
      <c r="C10821" s="32">
        <v>1495</v>
      </c>
    </row>
    <row r="10822" spans="1:3" x14ac:dyDescent="0.25">
      <c r="A10822" s="12" t="str">
        <f>("35-10085-D")</f>
        <v>35-10085-D</v>
      </c>
      <c r="B10822" s="15" t="s">
        <v>14981</v>
      </c>
      <c r="C10822" s="32">
        <v>1057.5</v>
      </c>
    </row>
    <row r="10823" spans="1:3" x14ac:dyDescent="0.25">
      <c r="A10823" s="12" t="str">
        <f>("35-10095")</f>
        <v>35-10095</v>
      </c>
      <c r="B10823" s="15" t="s">
        <v>14982</v>
      </c>
      <c r="C10823" s="32">
        <v>1495</v>
      </c>
    </row>
    <row r="10824" spans="1:3" x14ac:dyDescent="0.25">
      <c r="A10824" s="12" t="str">
        <f>("35-10095-D")</f>
        <v>35-10095-D</v>
      </c>
      <c r="B10824" s="15" t="s">
        <v>14983</v>
      </c>
      <c r="C10824" s="32">
        <v>1057.5</v>
      </c>
    </row>
    <row r="10825" spans="1:3" x14ac:dyDescent="0.25">
      <c r="A10825" s="12" t="str">
        <f>("35-12005")</f>
        <v>35-12005</v>
      </c>
      <c r="B10825" s="15" t="s">
        <v>14984</v>
      </c>
      <c r="C10825" s="32">
        <v>746.25</v>
      </c>
    </row>
    <row r="10826" spans="1:3" x14ac:dyDescent="0.25">
      <c r="A10826" s="12" t="str">
        <f>("35-120052")</f>
        <v>35-120052</v>
      </c>
      <c r="B10826" s="15" t="s">
        <v>14984</v>
      </c>
      <c r="C10826" s="32">
        <v>300</v>
      </c>
    </row>
    <row r="10827" spans="1:3" x14ac:dyDescent="0.25">
      <c r="A10827" s="12" t="str">
        <f>("35-12025")</f>
        <v>35-12025</v>
      </c>
      <c r="B10827" s="15" t="s">
        <v>14985</v>
      </c>
      <c r="C10827" s="32">
        <v>826.25</v>
      </c>
    </row>
    <row r="10828" spans="1:3" x14ac:dyDescent="0.25">
      <c r="A10828" s="12" t="str">
        <f>("35-120251")</f>
        <v>35-120251</v>
      </c>
      <c r="B10828" s="15" t="s">
        <v>14985</v>
      </c>
      <c r="C10828" s="32">
        <v>905</v>
      </c>
    </row>
    <row r="10829" spans="1:3" x14ac:dyDescent="0.25">
      <c r="A10829" s="12" t="str">
        <f>("35-120252")</f>
        <v>35-120252</v>
      </c>
      <c r="B10829" s="15" t="s">
        <v>14985</v>
      </c>
      <c r="C10829" s="32">
        <v>300</v>
      </c>
    </row>
    <row r="10830" spans="1:3" x14ac:dyDescent="0.25">
      <c r="A10830" s="12" t="str">
        <f>("35-12035")</f>
        <v>35-12035</v>
      </c>
      <c r="B10830" s="15" t="s">
        <v>14978</v>
      </c>
      <c r="C10830" s="32">
        <v>320</v>
      </c>
    </row>
    <row r="10831" spans="1:3" x14ac:dyDescent="0.25">
      <c r="A10831" s="12" t="str">
        <f>("35-12045")</f>
        <v>35-12045</v>
      </c>
      <c r="B10831" s="15" t="s">
        <v>14981</v>
      </c>
      <c r="C10831" s="32">
        <v>820</v>
      </c>
    </row>
    <row r="10832" spans="1:3" x14ac:dyDescent="0.25">
      <c r="A10832" s="12" t="str">
        <f>("35-120452")</f>
        <v>35-120452</v>
      </c>
      <c r="B10832" s="15" t="s">
        <v>14981</v>
      </c>
      <c r="C10832" s="32">
        <v>300</v>
      </c>
    </row>
    <row r="10833" spans="1:3" x14ac:dyDescent="0.25">
      <c r="A10833" s="12" t="str">
        <f>("35-12065")</f>
        <v>35-12065</v>
      </c>
      <c r="B10833" s="15" t="s">
        <v>14979</v>
      </c>
      <c r="C10833" s="32">
        <v>908.75</v>
      </c>
    </row>
    <row r="10834" spans="1:3" x14ac:dyDescent="0.25">
      <c r="A10834" s="12" t="str">
        <f>("35-120652")</f>
        <v>35-120652</v>
      </c>
      <c r="B10834" s="15" t="s">
        <v>14979</v>
      </c>
      <c r="C10834" s="32">
        <v>300</v>
      </c>
    </row>
    <row r="10835" spans="1:3" x14ac:dyDescent="0.25">
      <c r="A10835" s="12" t="str">
        <f>("35-12075")</f>
        <v>35-12075</v>
      </c>
      <c r="B10835" s="15" t="s">
        <v>14980</v>
      </c>
      <c r="C10835" s="32">
        <v>908.75</v>
      </c>
    </row>
    <row r="10836" spans="1:3" x14ac:dyDescent="0.25">
      <c r="A10836" s="12" t="str">
        <f>("35-12135")</f>
        <v>35-12135</v>
      </c>
      <c r="B10836" s="15" t="s">
        <v>14986</v>
      </c>
      <c r="C10836" s="32">
        <v>1495</v>
      </c>
    </row>
    <row r="10837" spans="1:3" x14ac:dyDescent="0.25">
      <c r="A10837" s="12" t="str">
        <f>("35-12135-D")</f>
        <v>35-12135-D</v>
      </c>
      <c r="B10837" s="15" t="s">
        <v>14986</v>
      </c>
      <c r="C10837" s="32">
        <v>1057.5</v>
      </c>
    </row>
    <row r="10838" spans="1:3" x14ac:dyDescent="0.25">
      <c r="A10838" s="12" t="str">
        <f>("35-14015")</f>
        <v>35-14015</v>
      </c>
      <c r="B10838" s="15" t="s">
        <v>14977</v>
      </c>
      <c r="C10838" s="32">
        <v>1781.25</v>
      </c>
    </row>
    <row r="10839" spans="1:3" x14ac:dyDescent="0.25">
      <c r="A10839" s="12" t="str">
        <f>("35-14035")</f>
        <v>35-14035</v>
      </c>
      <c r="B10839" s="15" t="s">
        <v>14978</v>
      </c>
      <c r="C10839" s="32">
        <v>1781.25</v>
      </c>
    </row>
    <row r="10840" spans="1:3" x14ac:dyDescent="0.25">
      <c r="A10840" s="12" t="str">
        <f>("35-14045")</f>
        <v>35-14045</v>
      </c>
      <c r="B10840" s="15" t="s">
        <v>14981</v>
      </c>
      <c r="C10840" s="32">
        <v>1781.25</v>
      </c>
    </row>
    <row r="10841" spans="1:3" x14ac:dyDescent="0.25">
      <c r="A10841" s="12" t="str">
        <f>("35-14065")</f>
        <v>35-14065</v>
      </c>
      <c r="B10841" s="15" t="s">
        <v>14979</v>
      </c>
      <c r="C10841" s="32">
        <v>1781.25</v>
      </c>
    </row>
    <row r="10842" spans="1:3" x14ac:dyDescent="0.25">
      <c r="A10842" s="12" t="str">
        <f>("35-14075")</f>
        <v>35-14075</v>
      </c>
      <c r="B10842" s="15" t="s">
        <v>14980</v>
      </c>
      <c r="C10842" s="32">
        <v>1781.25</v>
      </c>
    </row>
    <row r="10843" spans="1:3" x14ac:dyDescent="0.25">
      <c r="A10843" s="12" t="str">
        <f>("35-15015")</f>
        <v>35-15015</v>
      </c>
      <c r="B10843" s="15" t="s">
        <v>14977</v>
      </c>
      <c r="C10843" s="32">
        <v>496.25</v>
      </c>
    </row>
    <row r="10844" spans="1:3" x14ac:dyDescent="0.25">
      <c r="A10844" s="12" t="str">
        <f>("35-15025")</f>
        <v>35-15025</v>
      </c>
      <c r="B10844" s="15" t="s">
        <v>14985</v>
      </c>
      <c r="C10844" s="32">
        <v>496.25</v>
      </c>
    </row>
    <row r="10845" spans="1:3" x14ac:dyDescent="0.25">
      <c r="A10845" s="12" t="str">
        <f>("35-15035")</f>
        <v>35-15035</v>
      </c>
      <c r="B10845" s="15" t="s">
        <v>14978</v>
      </c>
      <c r="C10845" s="32">
        <v>496.25</v>
      </c>
    </row>
    <row r="10846" spans="1:3" x14ac:dyDescent="0.25">
      <c r="A10846" s="12" t="str">
        <f>("35-15045")</f>
        <v>35-15045</v>
      </c>
      <c r="B10846" s="15" t="s">
        <v>14981</v>
      </c>
      <c r="C10846" s="32">
        <v>496.25</v>
      </c>
    </row>
    <row r="10847" spans="1:3" x14ac:dyDescent="0.25">
      <c r="A10847" s="12" t="str">
        <f>("35-15065")</f>
        <v>35-15065</v>
      </c>
      <c r="B10847" s="15" t="s">
        <v>14979</v>
      </c>
      <c r="C10847" s="32">
        <v>496.25</v>
      </c>
    </row>
    <row r="10848" spans="1:3" x14ac:dyDescent="0.25">
      <c r="A10848" s="12" t="str">
        <f>("35-15075")</f>
        <v>35-15075</v>
      </c>
      <c r="B10848" s="15" t="s">
        <v>14980</v>
      </c>
      <c r="C10848" s="32">
        <v>495</v>
      </c>
    </row>
    <row r="10849" spans="1:3" x14ac:dyDescent="0.25">
      <c r="A10849" s="12" t="str">
        <f>("35-15135")</f>
        <v>35-15135</v>
      </c>
      <c r="B10849" s="15" t="s">
        <v>14987</v>
      </c>
      <c r="C10849" s="32">
        <v>496.25</v>
      </c>
    </row>
    <row r="10850" spans="1:3" x14ac:dyDescent="0.25">
      <c r="A10850" s="12" t="str">
        <f>("35-16005")</f>
        <v>35-16005</v>
      </c>
      <c r="B10850" s="15" t="s">
        <v>14984</v>
      </c>
      <c r="C10850" s="32">
        <v>378.75</v>
      </c>
    </row>
    <row r="10851" spans="1:3" x14ac:dyDescent="0.25">
      <c r="A10851" s="12" t="str">
        <f>("35-16015")</f>
        <v>35-16015</v>
      </c>
      <c r="B10851" s="15" t="s">
        <v>14977</v>
      </c>
      <c r="C10851" s="32">
        <v>417.5</v>
      </c>
    </row>
    <row r="10852" spans="1:3" x14ac:dyDescent="0.25">
      <c r="A10852" s="12" t="str">
        <f>("35-16025")</f>
        <v>35-16025</v>
      </c>
      <c r="B10852" s="15" t="s">
        <v>14985</v>
      </c>
      <c r="C10852" s="32">
        <v>378.75</v>
      </c>
    </row>
    <row r="10853" spans="1:3" x14ac:dyDescent="0.25">
      <c r="A10853" s="12" t="str">
        <f>("35-16035")</f>
        <v>35-16035</v>
      </c>
      <c r="B10853" s="15" t="s">
        <v>14988</v>
      </c>
      <c r="C10853" s="32">
        <v>378.75</v>
      </c>
    </row>
    <row r="10854" spans="1:3" x14ac:dyDescent="0.25">
      <c r="A10854" s="12" t="str">
        <f>("35-16045")</f>
        <v>35-16045</v>
      </c>
      <c r="B10854" s="15" t="s">
        <v>14981</v>
      </c>
      <c r="C10854" s="32">
        <v>417.5</v>
      </c>
    </row>
    <row r="10855" spans="1:3" x14ac:dyDescent="0.25">
      <c r="A10855" s="12" t="str">
        <f>("35-16065")</f>
        <v>35-16065</v>
      </c>
      <c r="B10855" s="15" t="s">
        <v>14979</v>
      </c>
      <c r="C10855" s="32">
        <v>417.5</v>
      </c>
    </row>
    <row r="10856" spans="1:3" x14ac:dyDescent="0.25">
      <c r="A10856" s="12" t="str">
        <f>("35-16075")</f>
        <v>35-16075</v>
      </c>
      <c r="B10856" s="15" t="s">
        <v>14980</v>
      </c>
      <c r="C10856" s="32">
        <v>172.5</v>
      </c>
    </row>
    <row r="10857" spans="1:3" x14ac:dyDescent="0.25">
      <c r="A10857" s="12" t="str">
        <f>("35-16085")</f>
        <v>35-16085</v>
      </c>
      <c r="B10857" s="15" t="s">
        <v>14989</v>
      </c>
      <c r="C10857" s="32">
        <v>417.5</v>
      </c>
    </row>
    <row r="10858" spans="1:3" x14ac:dyDescent="0.25">
      <c r="A10858" s="12" t="str">
        <f>("35-16135")</f>
        <v>35-16135</v>
      </c>
      <c r="B10858" s="15" t="s">
        <v>14987</v>
      </c>
      <c r="C10858" s="32">
        <v>417.5</v>
      </c>
    </row>
    <row r="10859" spans="1:3" x14ac:dyDescent="0.25">
      <c r="A10859" s="12" t="str">
        <f>("35-17045")</f>
        <v>35-17045</v>
      </c>
      <c r="B10859" s="15" t="s">
        <v>14981</v>
      </c>
      <c r="C10859" s="32">
        <v>413.75</v>
      </c>
    </row>
    <row r="10860" spans="1:3" x14ac:dyDescent="0.25">
      <c r="A10860" s="12" t="str">
        <f>("35-18135")</f>
        <v>35-18135</v>
      </c>
      <c r="B10860" s="15" t="s">
        <v>14987</v>
      </c>
      <c r="C10860" s="32">
        <v>320</v>
      </c>
    </row>
    <row r="10861" spans="1:3" x14ac:dyDescent="0.25">
      <c r="A10861" s="12" t="str">
        <f>("35-210085")</f>
        <v>35-210085</v>
      </c>
      <c r="B10861" s="15" t="s">
        <v>14981</v>
      </c>
      <c r="C10861" s="32">
        <v>1292.5</v>
      </c>
    </row>
    <row r="10862" spans="1:3" x14ac:dyDescent="0.25">
      <c r="A10862" s="12" t="str">
        <f>("35-210095")</f>
        <v>35-210095</v>
      </c>
      <c r="B10862" s="15" t="s">
        <v>14982</v>
      </c>
      <c r="C10862" s="32">
        <v>1292.5</v>
      </c>
    </row>
    <row r="10863" spans="1:3" x14ac:dyDescent="0.25">
      <c r="A10863" s="12" t="str">
        <f>("35-220452")</f>
        <v>35-220452</v>
      </c>
      <c r="B10863" s="15" t="s">
        <v>14981</v>
      </c>
      <c r="C10863" s="32">
        <v>1027.5</v>
      </c>
    </row>
    <row r="10864" spans="1:3" x14ac:dyDescent="0.25">
      <c r="A10864" s="12" t="str">
        <f>("35-220455")</f>
        <v>35-220455</v>
      </c>
      <c r="B10864" s="15" t="s">
        <v>14981</v>
      </c>
      <c r="C10864" s="32">
        <v>1545</v>
      </c>
    </row>
    <row r="10865" spans="1:3" x14ac:dyDescent="0.25">
      <c r="A10865" s="12" t="str">
        <f>("35-220652")</f>
        <v>35-220652</v>
      </c>
      <c r="B10865" s="15" t="s">
        <v>14990</v>
      </c>
      <c r="C10865" s="32">
        <v>1027.5</v>
      </c>
    </row>
    <row r="10866" spans="1:3" x14ac:dyDescent="0.25">
      <c r="A10866" s="12" t="str">
        <f>("35-220752")</f>
        <v>35-220752</v>
      </c>
      <c r="B10866" s="15" t="s">
        <v>14980</v>
      </c>
      <c r="C10866" s="32">
        <v>1071.25</v>
      </c>
    </row>
    <row r="10867" spans="1:3" x14ac:dyDescent="0.25">
      <c r="A10867" s="12" t="str">
        <f>("35-220755")</f>
        <v>35-220755</v>
      </c>
      <c r="B10867" s="15" t="s">
        <v>14980</v>
      </c>
      <c r="C10867" s="32">
        <v>1292.5</v>
      </c>
    </row>
    <row r="10868" spans="1:3" x14ac:dyDescent="0.25">
      <c r="A10868" s="12" t="str">
        <f>("35-220755A")</f>
        <v>35-220755A</v>
      </c>
      <c r="B10868" s="15" t="s">
        <v>14980</v>
      </c>
      <c r="C10868" s="32">
        <v>987.5</v>
      </c>
    </row>
    <row r="10869" spans="1:3" x14ac:dyDescent="0.25">
      <c r="A10869" s="12" t="str">
        <f>("35-220755B")</f>
        <v>35-220755B</v>
      </c>
      <c r="B10869" s="15" t="s">
        <v>14980</v>
      </c>
      <c r="C10869" s="32">
        <v>305</v>
      </c>
    </row>
    <row r="10870" spans="1:3" x14ac:dyDescent="0.25">
      <c r="A10870" s="12" t="str">
        <f>("35-220755C")</f>
        <v>35-220755C</v>
      </c>
      <c r="B10870" s="15" t="s">
        <v>14980</v>
      </c>
      <c r="C10870" s="32">
        <v>221.25</v>
      </c>
    </row>
    <row r="10871" spans="1:3" x14ac:dyDescent="0.25">
      <c r="A10871" s="12" t="str">
        <f>("35-220765")</f>
        <v>35-220765</v>
      </c>
      <c r="B10871" s="15" t="s">
        <v>14980</v>
      </c>
      <c r="C10871" s="32">
        <v>1383.75</v>
      </c>
    </row>
    <row r="10872" spans="1:3" x14ac:dyDescent="0.25">
      <c r="A10872" s="12" t="str">
        <f>("35-222135")</f>
        <v>35-222135</v>
      </c>
      <c r="B10872" s="15" t="s">
        <v>14987</v>
      </c>
      <c r="C10872" s="32">
        <v>1292.5</v>
      </c>
    </row>
    <row r="10873" spans="1:3" x14ac:dyDescent="0.25">
      <c r="A10873" s="12" t="str">
        <f>("35-2221352")</f>
        <v>35-2221352</v>
      </c>
      <c r="B10873" s="15" t="s">
        <v>14987</v>
      </c>
      <c r="C10873" s="32">
        <v>1292.5</v>
      </c>
    </row>
    <row r="10874" spans="1:3" x14ac:dyDescent="0.25">
      <c r="A10874" s="12" t="str">
        <f>("36-2005PB")</f>
        <v>36-2005PB</v>
      </c>
      <c r="B10874" s="15" t="s">
        <v>14991</v>
      </c>
      <c r="C10874" s="32">
        <v>618.75</v>
      </c>
    </row>
    <row r="10875" spans="1:3" x14ac:dyDescent="0.25">
      <c r="A10875" s="12" t="str">
        <f>("36-2005WC")</f>
        <v>36-2005WC</v>
      </c>
      <c r="B10875" s="15" t="s">
        <v>14992</v>
      </c>
      <c r="C10875" s="32">
        <v>63.75</v>
      </c>
    </row>
    <row r="10876" spans="1:3" x14ac:dyDescent="0.25">
      <c r="A10876" s="12" t="str">
        <f>("36-2015W")</f>
        <v>36-2015W</v>
      </c>
      <c r="B10876" s="15" t="s">
        <v>14993</v>
      </c>
      <c r="C10876" s="32">
        <v>283.75</v>
      </c>
    </row>
    <row r="10877" spans="1:3" x14ac:dyDescent="0.25">
      <c r="A10877" s="12" t="str">
        <f>("36-2035")</f>
        <v>36-2035</v>
      </c>
      <c r="B10877" s="15" t="s">
        <v>14977</v>
      </c>
      <c r="C10877" s="32">
        <v>747.5</v>
      </c>
    </row>
    <row r="10878" spans="1:3" x14ac:dyDescent="0.25">
      <c r="A10878" s="12" t="str">
        <f>("36-2035PB")</f>
        <v>36-2035PB</v>
      </c>
      <c r="B10878" s="15" t="s">
        <v>14977</v>
      </c>
      <c r="C10878" s="32">
        <v>681.25</v>
      </c>
    </row>
    <row r="10879" spans="1:3" x14ac:dyDescent="0.25">
      <c r="A10879" s="12" t="str">
        <f>("36-2035W")</f>
        <v>36-2035W</v>
      </c>
      <c r="B10879" s="15" t="s">
        <v>14977</v>
      </c>
      <c r="C10879" s="32">
        <v>475</v>
      </c>
    </row>
    <row r="10880" spans="1:3" ht="31.5" x14ac:dyDescent="0.25">
      <c r="A10880" s="12" t="str">
        <f>("36-2035WC")</f>
        <v>36-2035WC</v>
      </c>
      <c r="B10880" s="15" t="s">
        <v>14994</v>
      </c>
      <c r="C10880" s="32">
        <v>70</v>
      </c>
    </row>
    <row r="10881" spans="1:3" x14ac:dyDescent="0.25">
      <c r="A10881" s="12" t="str">
        <f>("36-2045")</f>
        <v>36-2045</v>
      </c>
      <c r="B10881" s="15" t="s">
        <v>14995</v>
      </c>
      <c r="C10881" s="32">
        <v>478.75</v>
      </c>
    </row>
    <row r="10882" spans="1:3" x14ac:dyDescent="0.25">
      <c r="A10882" s="12" t="str">
        <f>("36-2055")</f>
        <v>36-2055</v>
      </c>
      <c r="B10882" s="15" t="s">
        <v>14996</v>
      </c>
      <c r="C10882" s="32">
        <v>747.5</v>
      </c>
    </row>
    <row r="10883" spans="1:3" x14ac:dyDescent="0.25">
      <c r="A10883" s="12" t="str">
        <f>("36-2055PB")</f>
        <v>36-2055PB</v>
      </c>
      <c r="B10883" s="15" t="s">
        <v>14996</v>
      </c>
      <c r="C10883" s="32">
        <v>681.25</v>
      </c>
    </row>
    <row r="10884" spans="1:3" x14ac:dyDescent="0.25">
      <c r="A10884" s="12" t="str">
        <f>("36-2055W")</f>
        <v>36-2055W</v>
      </c>
      <c r="B10884" s="15" t="s">
        <v>14996</v>
      </c>
      <c r="C10884" s="32">
        <v>475</v>
      </c>
    </row>
    <row r="10885" spans="1:3" x14ac:dyDescent="0.25">
      <c r="A10885" s="12" t="str">
        <f>("36-2125")</f>
        <v>36-2125</v>
      </c>
      <c r="B10885" s="15" t="s">
        <v>14981</v>
      </c>
      <c r="C10885" s="32">
        <v>747.5</v>
      </c>
    </row>
    <row r="10886" spans="1:3" x14ac:dyDescent="0.25">
      <c r="A10886" s="12" t="str">
        <f>("36-2125PB")</f>
        <v>36-2125PB</v>
      </c>
      <c r="B10886" s="15" t="s">
        <v>14981</v>
      </c>
      <c r="C10886" s="32">
        <v>681.25</v>
      </c>
    </row>
    <row r="10887" spans="1:3" x14ac:dyDescent="0.25">
      <c r="A10887" s="12" t="str">
        <f>("36-2125PB-RF")</f>
        <v>36-2125PB-RF</v>
      </c>
      <c r="B10887" s="15" t="s">
        <v>14981</v>
      </c>
      <c r="C10887" s="32">
        <v>128.75</v>
      </c>
    </row>
    <row r="10888" spans="1:3" x14ac:dyDescent="0.25">
      <c r="A10888" s="12" t="str">
        <f>("36-2125W")</f>
        <v>36-2125W</v>
      </c>
      <c r="B10888" s="15" t="s">
        <v>14981</v>
      </c>
      <c r="C10888" s="32">
        <v>475</v>
      </c>
    </row>
    <row r="10889" spans="1:3" x14ac:dyDescent="0.25">
      <c r="A10889" s="12" t="str">
        <f>("36-2125WC")</f>
        <v>36-2125WC</v>
      </c>
      <c r="B10889" s="15" t="s">
        <v>14997</v>
      </c>
      <c r="C10889" s="32">
        <v>70</v>
      </c>
    </row>
    <row r="10890" spans="1:3" x14ac:dyDescent="0.25">
      <c r="A10890" s="12" t="str">
        <f>("36-4045")</f>
        <v>36-4045</v>
      </c>
      <c r="B10890" s="15" t="s">
        <v>14979</v>
      </c>
      <c r="C10890" s="32">
        <v>1042.5</v>
      </c>
    </row>
    <row r="10891" spans="1:3" x14ac:dyDescent="0.25">
      <c r="A10891" s="12" t="str">
        <f>("36-4045PB")</f>
        <v>36-4045PB</v>
      </c>
      <c r="B10891" s="15" t="s">
        <v>14979</v>
      </c>
      <c r="C10891" s="32">
        <v>681.25</v>
      </c>
    </row>
    <row r="10892" spans="1:3" x14ac:dyDescent="0.25">
      <c r="A10892" s="12" t="str">
        <f>("36-4045W")</f>
        <v>36-4045W</v>
      </c>
      <c r="B10892" s="15" t="s">
        <v>14998</v>
      </c>
      <c r="C10892" s="32">
        <v>475</v>
      </c>
    </row>
    <row r="10893" spans="1:3" x14ac:dyDescent="0.25">
      <c r="A10893" s="12" t="str">
        <f>("36-4045WC")</f>
        <v>36-4045WC</v>
      </c>
      <c r="B10893" s="15" t="s">
        <v>14999</v>
      </c>
      <c r="C10893" s="32">
        <v>70</v>
      </c>
    </row>
    <row r="10894" spans="1:3" x14ac:dyDescent="0.25">
      <c r="A10894" s="12" t="str">
        <f>("36-4055")</f>
        <v>36-4055</v>
      </c>
      <c r="B10894" s="15" t="s">
        <v>15000</v>
      </c>
      <c r="C10894" s="32">
        <v>680</v>
      </c>
    </row>
    <row r="10895" spans="1:3" x14ac:dyDescent="0.25">
      <c r="A10895" s="12" t="str">
        <f>("36-4075")</f>
        <v>36-4075</v>
      </c>
      <c r="B10895" s="15" t="s">
        <v>14980</v>
      </c>
      <c r="C10895" s="32">
        <v>747.5</v>
      </c>
    </row>
    <row r="10896" spans="1:3" x14ac:dyDescent="0.25">
      <c r="A10896" s="12" t="str">
        <f>("36-4075PB")</f>
        <v>36-4075PB</v>
      </c>
      <c r="B10896" s="15" t="s">
        <v>14980</v>
      </c>
      <c r="C10896" s="32">
        <v>681.25</v>
      </c>
    </row>
    <row r="10897" spans="1:3" x14ac:dyDescent="0.25">
      <c r="A10897" s="12" t="str">
        <f>("36-4075W")</f>
        <v>36-4075W</v>
      </c>
      <c r="B10897" s="15" t="s">
        <v>14980</v>
      </c>
      <c r="C10897" s="32">
        <v>475</v>
      </c>
    </row>
    <row r="10898" spans="1:3" x14ac:dyDescent="0.25">
      <c r="A10898" s="12" t="str">
        <f>("36-4075WC")</f>
        <v>36-4075WC</v>
      </c>
      <c r="B10898" s="15" t="s">
        <v>15001</v>
      </c>
      <c r="C10898" s="32">
        <v>70</v>
      </c>
    </row>
    <row r="10899" spans="1:3" x14ac:dyDescent="0.25">
      <c r="A10899" s="12" t="str">
        <f>("36-4185")</f>
        <v>36-4185</v>
      </c>
      <c r="B10899" s="15" t="s">
        <v>15002</v>
      </c>
      <c r="C10899" s="32">
        <v>947.5</v>
      </c>
    </row>
    <row r="10900" spans="1:3" x14ac:dyDescent="0.25">
      <c r="A10900" s="12" t="str">
        <f>("36-4185PB")</f>
        <v>36-4185PB</v>
      </c>
      <c r="B10900" s="15" t="s">
        <v>15003</v>
      </c>
      <c r="C10900" s="32">
        <v>750</v>
      </c>
    </row>
    <row r="10901" spans="1:3" x14ac:dyDescent="0.25">
      <c r="A10901" s="12" t="str">
        <f>("36-4185W")</f>
        <v>36-4185W</v>
      </c>
      <c r="B10901" s="15" t="s">
        <v>15003</v>
      </c>
      <c r="C10901" s="32">
        <v>475</v>
      </c>
    </row>
    <row r="10902" spans="1:3" x14ac:dyDescent="0.25">
      <c r="A10902" s="12" t="str">
        <f>("36-4185WC")</f>
        <v>36-4185WC</v>
      </c>
      <c r="B10902" s="15" t="s">
        <v>15004</v>
      </c>
      <c r="C10902" s="32">
        <v>81.25</v>
      </c>
    </row>
    <row r="10903" spans="1:3" x14ac:dyDescent="0.25">
      <c r="A10903" s="12" t="str">
        <f>("36-52065")</f>
        <v>36-52065</v>
      </c>
      <c r="B10903" s="15" t="s">
        <v>14164</v>
      </c>
      <c r="C10903" s="32">
        <v>947.5</v>
      </c>
    </row>
    <row r="10904" spans="1:3" x14ac:dyDescent="0.25">
      <c r="A10904" s="12" t="str">
        <f>("36-52065PB")</f>
        <v>36-52065PB</v>
      </c>
      <c r="B10904" s="15" t="s">
        <v>15005</v>
      </c>
      <c r="C10904" s="32">
        <v>618.75</v>
      </c>
    </row>
    <row r="10905" spans="1:3" x14ac:dyDescent="0.25">
      <c r="A10905" s="12" t="str">
        <f>("36-52065W")</f>
        <v>36-52065W</v>
      </c>
      <c r="B10905" s="15" t="s">
        <v>15006</v>
      </c>
      <c r="C10905" s="32">
        <v>475</v>
      </c>
    </row>
    <row r="10906" spans="1:3" x14ac:dyDescent="0.25">
      <c r="A10906" s="12" t="str">
        <f>("36-52065WC")</f>
        <v>36-52065WC</v>
      </c>
      <c r="B10906" s="15" t="s">
        <v>15007</v>
      </c>
      <c r="C10906" s="32">
        <v>70</v>
      </c>
    </row>
    <row r="10907" spans="1:3" x14ac:dyDescent="0.25">
      <c r="A10907" s="12" t="str">
        <f>("36-52135")</f>
        <v>36-52135</v>
      </c>
      <c r="B10907" s="15" t="s">
        <v>14986</v>
      </c>
      <c r="C10907" s="32">
        <v>1042.5</v>
      </c>
    </row>
    <row r="10908" spans="1:3" x14ac:dyDescent="0.25">
      <c r="A10908" s="12" t="str">
        <f>("36-52135PB")</f>
        <v>36-52135PB</v>
      </c>
      <c r="B10908" s="15" t="s">
        <v>14986</v>
      </c>
      <c r="C10908" s="32">
        <v>681.25</v>
      </c>
    </row>
    <row r="10909" spans="1:3" x14ac:dyDescent="0.25">
      <c r="A10909" s="12" t="str">
        <f>("36-52135W")</f>
        <v>36-52135W</v>
      </c>
      <c r="B10909" s="15" t="s">
        <v>15008</v>
      </c>
      <c r="C10909" s="32">
        <v>475</v>
      </c>
    </row>
    <row r="10910" spans="1:3" x14ac:dyDescent="0.25">
      <c r="A10910" s="12" t="str">
        <f>("36-52135WC")</f>
        <v>36-52135WC</v>
      </c>
      <c r="B10910" s="15" t="s">
        <v>15009</v>
      </c>
      <c r="C10910" s="32">
        <v>70</v>
      </c>
    </row>
    <row r="10911" spans="1:3" x14ac:dyDescent="0.25">
      <c r="A10911" s="12" t="str">
        <f>("36-53545")</f>
        <v>36-53545</v>
      </c>
      <c r="B10911" s="15" t="s">
        <v>15010</v>
      </c>
      <c r="C10911" s="32">
        <v>1042.5</v>
      </c>
    </row>
    <row r="10912" spans="1:3" x14ac:dyDescent="0.25">
      <c r="A10912" s="12" t="str">
        <f>("36-53545W")</f>
        <v>36-53545W</v>
      </c>
      <c r="B10912" s="15" t="s">
        <v>15010</v>
      </c>
      <c r="C10912" s="32">
        <v>435</v>
      </c>
    </row>
    <row r="10913" spans="1:3" x14ac:dyDescent="0.25">
      <c r="A10913" s="12" t="str">
        <f>("36-53805")</f>
        <v>36-53805</v>
      </c>
      <c r="B10913" s="15" t="s">
        <v>14205</v>
      </c>
      <c r="C10913" s="32">
        <v>947.5</v>
      </c>
    </row>
    <row r="10914" spans="1:3" x14ac:dyDescent="0.25">
      <c r="A10914" s="12" t="str">
        <f>("36-53805PB")</f>
        <v>36-53805PB</v>
      </c>
      <c r="B10914" s="15" t="s">
        <v>14205</v>
      </c>
      <c r="C10914" s="32">
        <v>618.75</v>
      </c>
    </row>
    <row r="10915" spans="1:3" x14ac:dyDescent="0.25">
      <c r="A10915" s="12" t="str">
        <f>("36-53805W")</f>
        <v>36-53805W</v>
      </c>
      <c r="B10915" s="15" t="s">
        <v>14205</v>
      </c>
      <c r="C10915" s="32">
        <v>431.25</v>
      </c>
    </row>
    <row r="10916" spans="1:3" x14ac:dyDescent="0.25">
      <c r="A10916" s="12" t="str">
        <f>("36-53805WC")</f>
        <v>36-53805WC</v>
      </c>
      <c r="B10916" s="15" t="s">
        <v>15011</v>
      </c>
      <c r="C10916" s="32">
        <v>63.75</v>
      </c>
    </row>
    <row r="10917" spans="1:3" x14ac:dyDescent="0.25">
      <c r="A10917" s="12" t="str">
        <f>("36-53955")</f>
        <v>36-53955</v>
      </c>
      <c r="B10917" s="15" t="s">
        <v>15012</v>
      </c>
      <c r="C10917" s="32">
        <v>947.5</v>
      </c>
    </row>
    <row r="10918" spans="1:3" x14ac:dyDescent="0.25">
      <c r="A10918" s="12" t="str">
        <f>("36-53955W")</f>
        <v>36-53955W</v>
      </c>
      <c r="B10918" s="15" t="s">
        <v>15012</v>
      </c>
      <c r="C10918" s="32">
        <v>431.25</v>
      </c>
    </row>
    <row r="10919" spans="1:3" x14ac:dyDescent="0.25">
      <c r="A10919" s="12" t="str">
        <f>("36-54085")</f>
        <v>36-54085</v>
      </c>
      <c r="B10919" s="15" t="s">
        <v>15013</v>
      </c>
      <c r="C10919" s="32">
        <v>1042.5</v>
      </c>
    </row>
    <row r="10920" spans="1:3" x14ac:dyDescent="0.25">
      <c r="A10920" s="12" t="str">
        <f>("36-54085BHD")</f>
        <v>36-54085BHD</v>
      </c>
      <c r="B10920" s="15" t="s">
        <v>15014</v>
      </c>
      <c r="C10920" s="32">
        <v>112.5</v>
      </c>
    </row>
    <row r="10921" spans="1:3" x14ac:dyDescent="0.25">
      <c r="A10921" s="12" t="str">
        <f>("36-54085HD")</f>
        <v>36-54085HD</v>
      </c>
      <c r="B10921" s="15" t="s">
        <v>15015</v>
      </c>
      <c r="C10921" s="32">
        <v>171.25</v>
      </c>
    </row>
    <row r="10922" spans="1:3" x14ac:dyDescent="0.25">
      <c r="A10922" s="12" t="str">
        <f>("36-54085PB")</f>
        <v>36-54085PB</v>
      </c>
      <c r="B10922" s="15" t="s">
        <v>14989</v>
      </c>
      <c r="C10922" s="32">
        <v>681.25</v>
      </c>
    </row>
    <row r="10923" spans="1:3" x14ac:dyDescent="0.25">
      <c r="A10923" s="12" t="str">
        <f>("36-6000GPK")</f>
        <v>36-6000GPK</v>
      </c>
      <c r="B10923" s="15" t="s">
        <v>15016</v>
      </c>
      <c r="C10923" s="32">
        <v>10</v>
      </c>
    </row>
    <row r="10924" spans="1:3" ht="31.5" x14ac:dyDescent="0.25">
      <c r="A10924" s="12" t="str">
        <f>("36-6005")</f>
        <v>36-6005</v>
      </c>
      <c r="B10924" s="15" t="s">
        <v>15017</v>
      </c>
      <c r="C10924" s="32">
        <v>70</v>
      </c>
    </row>
    <row r="10925" spans="1:3" ht="31.5" x14ac:dyDescent="0.25">
      <c r="A10925" s="12" t="str">
        <f>("36-6005C2CH")</f>
        <v>36-6005C2CH</v>
      </c>
      <c r="B10925" s="15" t="s">
        <v>15018</v>
      </c>
      <c r="C10925" s="32">
        <v>63.75</v>
      </c>
    </row>
    <row r="10926" spans="1:3" ht="31.5" x14ac:dyDescent="0.25">
      <c r="A10926" s="12" t="str">
        <f>("36-6005C3CH")</f>
        <v>36-6005C3CH</v>
      </c>
      <c r="B10926" s="15" t="s">
        <v>15019</v>
      </c>
      <c r="C10926" s="32">
        <v>63.75</v>
      </c>
    </row>
    <row r="10927" spans="1:3" ht="31.5" x14ac:dyDescent="0.25">
      <c r="A10927" s="12" t="str">
        <f>("36-6005CMF2")</f>
        <v>36-6005CMF2</v>
      </c>
      <c r="B10927" s="15" t="s">
        <v>15020</v>
      </c>
      <c r="C10927" s="32">
        <v>70</v>
      </c>
    </row>
    <row r="10928" spans="1:3" ht="31.5" x14ac:dyDescent="0.25">
      <c r="A10928" s="12" t="str">
        <f>("36-6005CMF4")</f>
        <v>36-6005CMF4</v>
      </c>
      <c r="B10928" s="15" t="s">
        <v>15020</v>
      </c>
      <c r="C10928" s="32">
        <v>70</v>
      </c>
    </row>
    <row r="10929" spans="1:3" ht="31.5" x14ac:dyDescent="0.25">
      <c r="A10929" s="12" t="str">
        <f>("36-6005F2MP")</f>
        <v>36-6005F2MP</v>
      </c>
      <c r="B10929" s="15" t="s">
        <v>15021</v>
      </c>
      <c r="C10929" s="32">
        <v>70</v>
      </c>
    </row>
    <row r="10930" spans="1:3" ht="31.5" x14ac:dyDescent="0.25">
      <c r="A10930" s="12" t="str">
        <f>("36-6005F4")</f>
        <v>36-6005F4</v>
      </c>
      <c r="B10930" s="15" t="s">
        <v>15022</v>
      </c>
      <c r="C10930" s="32">
        <v>63.75</v>
      </c>
    </row>
    <row r="10931" spans="1:3" ht="31.5" x14ac:dyDescent="0.25">
      <c r="A10931" s="12" t="str">
        <f>("36-6005F4MP")</f>
        <v>36-6005F4MP</v>
      </c>
      <c r="B10931" s="15" t="s">
        <v>15023</v>
      </c>
      <c r="C10931" s="32">
        <v>70</v>
      </c>
    </row>
    <row r="10932" spans="1:3" ht="31.5" x14ac:dyDescent="0.25">
      <c r="A10932" s="12" t="str">
        <f>("36-6005S2")</f>
        <v>36-6005S2</v>
      </c>
      <c r="B10932" s="15" t="s">
        <v>15024</v>
      </c>
      <c r="C10932" s="32">
        <v>70</v>
      </c>
    </row>
    <row r="10933" spans="1:3" ht="31.5" x14ac:dyDescent="0.25">
      <c r="A10933" s="12" t="str">
        <f>("36-6005S4")</f>
        <v>36-6005S4</v>
      </c>
      <c r="B10933" s="15" t="s">
        <v>15025</v>
      </c>
      <c r="C10933" s="32">
        <v>70</v>
      </c>
    </row>
    <row r="10934" spans="1:3" ht="31.5" x14ac:dyDescent="0.25">
      <c r="A10934" s="12" t="str">
        <f>("36-6005SMP2")</f>
        <v>36-6005SMP2</v>
      </c>
      <c r="B10934" s="15" t="s">
        <v>15026</v>
      </c>
      <c r="C10934" s="32">
        <v>70</v>
      </c>
    </row>
    <row r="10935" spans="1:3" ht="31.5" x14ac:dyDescent="0.25">
      <c r="A10935" s="12" t="str">
        <f>("36-6005SMP4")</f>
        <v>36-6005SMP4</v>
      </c>
      <c r="B10935" s="15" t="s">
        <v>15027</v>
      </c>
      <c r="C10935" s="32">
        <v>70</v>
      </c>
    </row>
    <row r="10936" spans="1:3" ht="31.5" x14ac:dyDescent="0.25">
      <c r="A10936" s="12" t="str">
        <f>("36-6005W2")</f>
        <v>36-6005W2</v>
      </c>
      <c r="B10936" s="15" t="s">
        <v>15028</v>
      </c>
      <c r="C10936" s="32">
        <v>70</v>
      </c>
    </row>
    <row r="10937" spans="1:3" ht="31.5" x14ac:dyDescent="0.25">
      <c r="A10937" s="12" t="str">
        <f>("36-6005W4")</f>
        <v>36-6005W4</v>
      </c>
      <c r="B10937" s="15" t="s">
        <v>15029</v>
      </c>
      <c r="C10937" s="32">
        <v>70</v>
      </c>
    </row>
    <row r="10938" spans="1:3" ht="47.25" x14ac:dyDescent="0.25">
      <c r="A10938" s="12" t="str">
        <f>("36-6015")</f>
        <v>36-6015</v>
      </c>
      <c r="B10938" s="15" t="s">
        <v>15030</v>
      </c>
      <c r="C10938" s="32">
        <v>70</v>
      </c>
    </row>
    <row r="10939" spans="1:3" ht="47.25" x14ac:dyDescent="0.25">
      <c r="A10939" s="12" t="str">
        <f>("36-6015C2CH")</f>
        <v>36-6015C2CH</v>
      </c>
      <c r="B10939" s="15" t="s">
        <v>15031</v>
      </c>
      <c r="C10939" s="32">
        <v>63.75</v>
      </c>
    </row>
    <row r="10940" spans="1:3" ht="47.25" x14ac:dyDescent="0.25">
      <c r="A10940" s="12" t="str">
        <f>("36-6015C4CH")</f>
        <v>36-6015C4CH</v>
      </c>
      <c r="B10940" s="15" t="s">
        <v>15032</v>
      </c>
      <c r="C10940" s="32">
        <v>63.75</v>
      </c>
    </row>
    <row r="10941" spans="1:3" ht="47.25" x14ac:dyDescent="0.25">
      <c r="A10941" s="12" t="str">
        <f>("36-6015CMF2")</f>
        <v>36-6015CMF2</v>
      </c>
      <c r="B10941" s="15" t="s">
        <v>15033</v>
      </c>
      <c r="C10941" s="32">
        <v>70</v>
      </c>
    </row>
    <row r="10942" spans="1:3" ht="47.25" x14ac:dyDescent="0.25">
      <c r="A10942" s="12" t="str">
        <f>("36-6015CMF4")</f>
        <v>36-6015CMF4</v>
      </c>
      <c r="B10942" s="15" t="s">
        <v>15034</v>
      </c>
      <c r="C10942" s="32">
        <v>70</v>
      </c>
    </row>
    <row r="10943" spans="1:3" ht="47.25" x14ac:dyDescent="0.25">
      <c r="A10943" s="12" t="str">
        <f>("36-6015F2MP")</f>
        <v>36-6015F2MP</v>
      </c>
      <c r="B10943" s="15" t="s">
        <v>15035</v>
      </c>
      <c r="C10943" s="32">
        <v>70</v>
      </c>
    </row>
    <row r="10944" spans="1:3" ht="47.25" x14ac:dyDescent="0.25">
      <c r="A10944" s="12" t="str">
        <f>("36-6015F4MP")</f>
        <v>36-6015F4MP</v>
      </c>
      <c r="B10944" s="15" t="s">
        <v>15036</v>
      </c>
      <c r="C10944" s="32">
        <v>70</v>
      </c>
    </row>
    <row r="10945" spans="1:3" ht="47.25" x14ac:dyDescent="0.25">
      <c r="A10945" s="12" t="str">
        <f>("36-6015S2")</f>
        <v>36-6015S2</v>
      </c>
      <c r="B10945" s="15" t="s">
        <v>15037</v>
      </c>
      <c r="C10945" s="32">
        <v>70</v>
      </c>
    </row>
    <row r="10946" spans="1:3" ht="47.25" x14ac:dyDescent="0.25">
      <c r="A10946" s="12" t="str">
        <f>("36-6015S4")</f>
        <v>36-6015S4</v>
      </c>
      <c r="B10946" s="15" t="s">
        <v>15038</v>
      </c>
      <c r="C10946" s="32">
        <v>70</v>
      </c>
    </row>
    <row r="10947" spans="1:3" ht="47.25" x14ac:dyDescent="0.25">
      <c r="A10947" s="12" t="str">
        <f>("36-6015SMP2")</f>
        <v>36-6015SMP2</v>
      </c>
      <c r="B10947" s="15" t="s">
        <v>15039</v>
      </c>
      <c r="C10947" s="32">
        <v>70</v>
      </c>
    </row>
    <row r="10948" spans="1:3" ht="47.25" x14ac:dyDescent="0.25">
      <c r="A10948" s="12" t="str">
        <f>("36-6015SMP4")</f>
        <v>36-6015SMP4</v>
      </c>
      <c r="B10948" s="15" t="s">
        <v>15040</v>
      </c>
      <c r="C10948" s="32">
        <v>70</v>
      </c>
    </row>
    <row r="10949" spans="1:3" ht="47.25" x14ac:dyDescent="0.25">
      <c r="A10949" s="12" t="str">
        <f>("36-6015W2")</f>
        <v>36-6015W2</v>
      </c>
      <c r="B10949" s="15" t="s">
        <v>15041</v>
      </c>
      <c r="C10949" s="32">
        <v>70</v>
      </c>
    </row>
    <row r="10950" spans="1:3" ht="47.25" x14ac:dyDescent="0.25">
      <c r="A10950" s="12" t="str">
        <f>("36-6015W4")</f>
        <v>36-6015W4</v>
      </c>
      <c r="B10950" s="15" t="s">
        <v>15042</v>
      </c>
      <c r="C10950" s="32">
        <v>70</v>
      </c>
    </row>
    <row r="10951" spans="1:3" x14ac:dyDescent="0.25">
      <c r="A10951" s="12" t="str">
        <f>("400-0001")</f>
        <v>400-0001</v>
      </c>
      <c r="B10951" s="15" t="s">
        <v>15043</v>
      </c>
      <c r="C10951" s="32">
        <v>228.75</v>
      </c>
    </row>
    <row r="10952" spans="1:3" x14ac:dyDescent="0.25">
      <c r="A10952" s="12" t="str">
        <f>("400-0002")</f>
        <v>400-0002</v>
      </c>
      <c r="B10952" s="15" t="s">
        <v>15044</v>
      </c>
      <c r="C10952" s="32">
        <v>422.5</v>
      </c>
    </row>
    <row r="10953" spans="1:3" x14ac:dyDescent="0.25">
      <c r="A10953" s="12" t="str">
        <f>("400-0003")</f>
        <v>400-0003</v>
      </c>
      <c r="B10953" s="15"/>
      <c r="C10953" s="32">
        <v>542.5</v>
      </c>
    </row>
    <row r="10954" spans="1:3" x14ac:dyDescent="0.25">
      <c r="A10954" s="12" t="str">
        <f>("400-0004")</f>
        <v>400-0004</v>
      </c>
      <c r="B10954" s="15"/>
      <c r="C10954" s="32">
        <v>157.5</v>
      </c>
    </row>
    <row r="10955" spans="1:3" x14ac:dyDescent="0.25">
      <c r="A10955" s="12" t="str">
        <f>("400-0005")</f>
        <v>400-0005</v>
      </c>
      <c r="B10955" s="15"/>
      <c r="C10955" s="32">
        <v>157.5</v>
      </c>
    </row>
    <row r="10956" spans="1:3" x14ac:dyDescent="0.25">
      <c r="A10956" s="12" t="str">
        <f>("400-0006")</f>
        <v>400-0006</v>
      </c>
      <c r="B10956" s="15"/>
      <c r="C10956" s="32">
        <v>357.5</v>
      </c>
    </row>
    <row r="10957" spans="1:3" x14ac:dyDescent="0.25">
      <c r="A10957" s="12" t="str">
        <f>("400-0007")</f>
        <v>400-0007</v>
      </c>
      <c r="B10957" s="15" t="s">
        <v>15045</v>
      </c>
      <c r="C10957" s="32">
        <v>242.5</v>
      </c>
    </row>
    <row r="10958" spans="1:3" x14ac:dyDescent="0.25">
      <c r="A10958" s="12" t="str">
        <f>("400-0008")</f>
        <v>400-0008</v>
      </c>
      <c r="B10958" s="15" t="s">
        <v>15046</v>
      </c>
      <c r="C10958" s="32">
        <v>585</v>
      </c>
    </row>
    <row r="10959" spans="1:3" x14ac:dyDescent="0.25">
      <c r="A10959" s="12" t="str">
        <f>("400-0012")</f>
        <v>400-0012</v>
      </c>
      <c r="B10959" s="15" t="s">
        <v>15047</v>
      </c>
      <c r="C10959" s="32">
        <v>13.75</v>
      </c>
    </row>
    <row r="10960" spans="1:3" x14ac:dyDescent="0.25">
      <c r="A10960" s="12" t="str">
        <f>("400-0013")</f>
        <v>400-0013</v>
      </c>
      <c r="B10960" s="15" t="s">
        <v>15048</v>
      </c>
      <c r="C10960" s="32">
        <v>17.5</v>
      </c>
    </row>
    <row r="10961" spans="1:3" x14ac:dyDescent="0.25">
      <c r="A10961" s="12" t="str">
        <f>("400-0014")</f>
        <v>400-0014</v>
      </c>
      <c r="B10961" s="15" t="s">
        <v>15049</v>
      </c>
      <c r="C10961" s="32">
        <v>62.5</v>
      </c>
    </row>
    <row r="10962" spans="1:3" x14ac:dyDescent="0.25">
      <c r="A10962" s="12" t="str">
        <f>("400-0015")</f>
        <v>400-0015</v>
      </c>
      <c r="B10962" s="15" t="s">
        <v>15050</v>
      </c>
      <c r="C10962" s="32">
        <v>62.5</v>
      </c>
    </row>
    <row r="10963" spans="1:3" x14ac:dyDescent="0.25">
      <c r="A10963" s="12" t="str">
        <f>("400-0017")</f>
        <v>400-0017</v>
      </c>
      <c r="B10963" s="15" t="s">
        <v>15051</v>
      </c>
      <c r="C10963" s="32">
        <v>62.5</v>
      </c>
    </row>
    <row r="10964" spans="1:3" ht="31.5" x14ac:dyDescent="0.25">
      <c r="A10964" s="12" t="str">
        <f>("400-0018")</f>
        <v>400-0018</v>
      </c>
      <c r="B10964" s="15" t="s">
        <v>15052</v>
      </c>
      <c r="C10964" s="32">
        <v>87.5</v>
      </c>
    </row>
    <row r="10965" spans="1:3" ht="31.5" x14ac:dyDescent="0.25">
      <c r="A10965" s="12" t="str">
        <f>("400-0019")</f>
        <v>400-0019</v>
      </c>
      <c r="B10965" s="15" t="s">
        <v>15053</v>
      </c>
      <c r="C10965" s="32">
        <v>132.5</v>
      </c>
    </row>
    <row r="10966" spans="1:3" x14ac:dyDescent="0.25">
      <c r="A10966" s="12" t="str">
        <f>("400-0020")</f>
        <v>400-0020</v>
      </c>
      <c r="B10966" s="15" t="s">
        <v>15054</v>
      </c>
      <c r="C10966" s="32">
        <v>170</v>
      </c>
    </row>
    <row r="10967" spans="1:3" x14ac:dyDescent="0.25">
      <c r="A10967" s="12" t="str">
        <f>("400-0021")</f>
        <v>400-0021</v>
      </c>
      <c r="B10967" s="15" t="s">
        <v>15055</v>
      </c>
      <c r="C10967" s="32">
        <v>170</v>
      </c>
    </row>
    <row r="10968" spans="1:3" x14ac:dyDescent="0.25">
      <c r="A10968" s="12" t="str">
        <f>("400-0023")</f>
        <v>400-0023</v>
      </c>
      <c r="B10968" s="15" t="s">
        <v>15056</v>
      </c>
      <c r="C10968" s="32">
        <v>28.75</v>
      </c>
    </row>
    <row r="10969" spans="1:3" x14ac:dyDescent="0.25">
      <c r="A10969" s="12" t="str">
        <f>("400-0024")</f>
        <v>400-0024</v>
      </c>
      <c r="B10969" s="15" t="s">
        <v>15057</v>
      </c>
      <c r="C10969" s="32">
        <v>28.75</v>
      </c>
    </row>
    <row r="10970" spans="1:3" x14ac:dyDescent="0.25">
      <c r="A10970" s="12" t="str">
        <f>("400-0025")</f>
        <v>400-0025</v>
      </c>
      <c r="B10970" s="15" t="s">
        <v>15058</v>
      </c>
      <c r="C10970" s="32">
        <v>215</v>
      </c>
    </row>
    <row r="10971" spans="1:3" x14ac:dyDescent="0.25">
      <c r="A10971" s="12" t="str">
        <f>("400-0026")</f>
        <v>400-0026</v>
      </c>
      <c r="B10971" s="15" t="s">
        <v>15059</v>
      </c>
      <c r="C10971" s="32">
        <v>33.75</v>
      </c>
    </row>
    <row r="10972" spans="1:3" x14ac:dyDescent="0.25">
      <c r="A10972" s="12" t="str">
        <f>("400-0027")</f>
        <v>400-0027</v>
      </c>
      <c r="B10972" s="15" t="s">
        <v>15060</v>
      </c>
      <c r="C10972" s="32">
        <v>27.5</v>
      </c>
    </row>
    <row r="10973" spans="1:3" ht="31.5" x14ac:dyDescent="0.25">
      <c r="A10973" s="12" t="str">
        <f>("400-0028")</f>
        <v>400-0028</v>
      </c>
      <c r="B10973" s="15" t="s">
        <v>15061</v>
      </c>
      <c r="C10973" s="32">
        <v>348.75</v>
      </c>
    </row>
    <row r="10974" spans="1:3" x14ac:dyDescent="0.25">
      <c r="A10974" s="12" t="str">
        <f>("400-0029")</f>
        <v>400-0029</v>
      </c>
      <c r="B10974" s="15" t="s">
        <v>15062</v>
      </c>
      <c r="C10974" s="32">
        <v>50</v>
      </c>
    </row>
    <row r="10975" spans="1:3" x14ac:dyDescent="0.25">
      <c r="A10975" s="12" t="str">
        <f>("400-0031")</f>
        <v>400-0031</v>
      </c>
      <c r="B10975" s="15" t="s">
        <v>15063</v>
      </c>
      <c r="C10975" s="32">
        <v>171.25</v>
      </c>
    </row>
    <row r="10976" spans="1:3" x14ac:dyDescent="0.25">
      <c r="A10976" s="12" t="str">
        <f>("400-0032")</f>
        <v>400-0032</v>
      </c>
      <c r="B10976" s="15" t="s">
        <v>15064</v>
      </c>
      <c r="C10976" s="32">
        <v>171.25</v>
      </c>
    </row>
    <row r="10977" spans="1:3" x14ac:dyDescent="0.25">
      <c r="A10977" s="12" t="str">
        <f>("400-0033")</f>
        <v>400-0033</v>
      </c>
      <c r="B10977" s="15" t="s">
        <v>15065</v>
      </c>
      <c r="C10977" s="32">
        <v>163.75</v>
      </c>
    </row>
    <row r="10978" spans="1:3" x14ac:dyDescent="0.25">
      <c r="A10978" s="12" t="str">
        <f>("400-0034")</f>
        <v>400-0034</v>
      </c>
      <c r="B10978" s="15" t="s">
        <v>15066</v>
      </c>
      <c r="C10978" s="32">
        <v>206.25</v>
      </c>
    </row>
    <row r="10979" spans="1:3" x14ac:dyDescent="0.25">
      <c r="A10979" s="12" t="str">
        <f>("400-0035")</f>
        <v>400-0035</v>
      </c>
      <c r="B10979" s="15" t="s">
        <v>15067</v>
      </c>
      <c r="C10979" s="32">
        <v>47.5</v>
      </c>
    </row>
    <row r="10980" spans="1:3" x14ac:dyDescent="0.25">
      <c r="A10980" s="12" t="str">
        <f>("400-0036")</f>
        <v>400-0036</v>
      </c>
      <c r="B10980" s="15" t="s">
        <v>15068</v>
      </c>
      <c r="C10980" s="32">
        <v>103.75</v>
      </c>
    </row>
    <row r="10981" spans="1:3" ht="31.5" x14ac:dyDescent="0.25">
      <c r="A10981" s="12" t="str">
        <f>("400-0037")</f>
        <v>400-0037</v>
      </c>
      <c r="B10981" s="15" t="s">
        <v>15069</v>
      </c>
      <c r="C10981" s="32">
        <v>336.25</v>
      </c>
    </row>
    <row r="10982" spans="1:3" x14ac:dyDescent="0.25">
      <c r="A10982" s="12" t="str">
        <f>("400-0038")</f>
        <v>400-0038</v>
      </c>
      <c r="B10982" s="15" t="s">
        <v>15070</v>
      </c>
      <c r="C10982" s="32">
        <v>62.5</v>
      </c>
    </row>
    <row r="10983" spans="1:3" x14ac:dyDescent="0.25">
      <c r="A10983" s="12" t="str">
        <f>("400-0039")</f>
        <v>400-0039</v>
      </c>
      <c r="B10983" s="15" t="s">
        <v>15071</v>
      </c>
      <c r="C10983" s="32">
        <v>78.75</v>
      </c>
    </row>
    <row r="10984" spans="1:3" x14ac:dyDescent="0.25">
      <c r="A10984" s="12" t="str">
        <f>("400-0040")</f>
        <v>400-0040</v>
      </c>
      <c r="B10984" s="15" t="s">
        <v>15072</v>
      </c>
      <c r="C10984" s="32">
        <v>78.75</v>
      </c>
    </row>
    <row r="10985" spans="1:3" x14ac:dyDescent="0.25">
      <c r="A10985" s="12" t="str">
        <f>("400-0041")</f>
        <v>400-0041</v>
      </c>
      <c r="B10985" s="15"/>
      <c r="C10985" s="32">
        <v>175</v>
      </c>
    </row>
    <row r="10986" spans="1:3" x14ac:dyDescent="0.25">
      <c r="A10986" s="12" t="str">
        <f>("400-0042")</f>
        <v>400-0042</v>
      </c>
      <c r="B10986" s="15" t="s">
        <v>15073</v>
      </c>
      <c r="C10986" s="32">
        <v>107.5</v>
      </c>
    </row>
    <row r="10987" spans="1:3" x14ac:dyDescent="0.25">
      <c r="A10987" s="12" t="str">
        <f>("400-0043")</f>
        <v>400-0043</v>
      </c>
      <c r="B10987" s="15"/>
      <c r="C10987" s="32">
        <v>192.5</v>
      </c>
    </row>
    <row r="10988" spans="1:3" x14ac:dyDescent="0.25">
      <c r="A10988" s="12" t="str">
        <f>("400-0044")</f>
        <v>400-0044</v>
      </c>
      <c r="B10988" s="15"/>
      <c r="C10988" s="32">
        <v>157.5</v>
      </c>
    </row>
    <row r="10989" spans="1:3" x14ac:dyDescent="0.25">
      <c r="A10989" s="12" t="str">
        <f>("400-0045")</f>
        <v>400-0045</v>
      </c>
      <c r="B10989" s="15"/>
      <c r="C10989" s="32">
        <v>157.5</v>
      </c>
    </row>
    <row r="10990" spans="1:3" x14ac:dyDescent="0.25">
      <c r="A10990" s="12" t="str">
        <f>("400-0046")</f>
        <v>400-0046</v>
      </c>
      <c r="B10990" s="15" t="s">
        <v>15074</v>
      </c>
      <c r="C10990" s="32">
        <v>166.25</v>
      </c>
    </row>
    <row r="10991" spans="1:3" x14ac:dyDescent="0.25">
      <c r="A10991" s="12" t="str">
        <f>("400-0047")</f>
        <v>400-0047</v>
      </c>
      <c r="B10991" s="15" t="s">
        <v>15075</v>
      </c>
      <c r="C10991" s="32">
        <v>111.25</v>
      </c>
    </row>
    <row r="10992" spans="1:3" x14ac:dyDescent="0.25">
      <c r="A10992" s="12" t="str">
        <f>("400-0048")</f>
        <v>400-0048</v>
      </c>
      <c r="B10992" s="15" t="s">
        <v>15076</v>
      </c>
      <c r="C10992" s="32">
        <v>113.75</v>
      </c>
    </row>
    <row r="10993" spans="1:3" x14ac:dyDescent="0.25">
      <c r="A10993" s="12" t="str">
        <f>("400-0049")</f>
        <v>400-0049</v>
      </c>
      <c r="B10993" s="15" t="s">
        <v>15077</v>
      </c>
      <c r="C10993" s="32">
        <v>175</v>
      </c>
    </row>
    <row r="10994" spans="1:3" x14ac:dyDescent="0.25">
      <c r="A10994" s="12" t="str">
        <f>("400-0051")</f>
        <v>400-0051</v>
      </c>
      <c r="B10994" s="15" t="s">
        <v>15078</v>
      </c>
      <c r="C10994" s="32">
        <v>175</v>
      </c>
    </row>
    <row r="10995" spans="1:3" x14ac:dyDescent="0.25">
      <c r="A10995" s="12" t="str">
        <f>("400-0052")</f>
        <v>400-0052</v>
      </c>
      <c r="B10995" s="15" t="s">
        <v>15079</v>
      </c>
      <c r="C10995" s="32">
        <v>206.25</v>
      </c>
    </row>
    <row r="10996" spans="1:3" x14ac:dyDescent="0.25">
      <c r="A10996" s="12" t="str">
        <f>("400-0053")</f>
        <v>400-0053</v>
      </c>
      <c r="B10996" s="15" t="s">
        <v>15080</v>
      </c>
      <c r="C10996" s="32">
        <v>238.75</v>
      </c>
    </row>
    <row r="10997" spans="1:3" x14ac:dyDescent="0.25">
      <c r="A10997" s="12" t="str">
        <f>("400-0054")</f>
        <v>400-0054</v>
      </c>
      <c r="B10997" s="15" t="s">
        <v>15081</v>
      </c>
      <c r="C10997" s="32">
        <v>190</v>
      </c>
    </row>
    <row r="10998" spans="1:3" x14ac:dyDescent="0.25">
      <c r="A10998" s="12" t="str">
        <f>("400-0055")</f>
        <v>400-0055</v>
      </c>
      <c r="B10998" s="15"/>
      <c r="C10998" s="32">
        <v>262.5</v>
      </c>
    </row>
    <row r="10999" spans="1:3" x14ac:dyDescent="0.25">
      <c r="A10999" s="12" t="str">
        <f>("400-0056")</f>
        <v>400-0056</v>
      </c>
      <c r="B10999" s="15" t="s">
        <v>15082</v>
      </c>
      <c r="C10999" s="32">
        <v>183.75</v>
      </c>
    </row>
    <row r="11000" spans="1:3" x14ac:dyDescent="0.25">
      <c r="A11000" s="12" t="str">
        <f>("400-0057")</f>
        <v>400-0057</v>
      </c>
      <c r="B11000" s="15"/>
      <c r="C11000" s="32">
        <v>517.5</v>
      </c>
    </row>
    <row r="11001" spans="1:3" ht="31.5" x14ac:dyDescent="0.25">
      <c r="A11001" s="12" t="str">
        <f>("400-0058")</f>
        <v>400-0058</v>
      </c>
      <c r="B11001" s="15" t="s">
        <v>15083</v>
      </c>
      <c r="C11001" s="32">
        <v>548.75</v>
      </c>
    </row>
    <row r="11002" spans="1:3" ht="31.5" x14ac:dyDescent="0.25">
      <c r="A11002" s="12" t="str">
        <f>("400-0059")</f>
        <v>400-0059</v>
      </c>
      <c r="B11002" s="15" t="s">
        <v>15084</v>
      </c>
      <c r="C11002" s="32">
        <v>35</v>
      </c>
    </row>
    <row r="11003" spans="1:3" x14ac:dyDescent="0.25">
      <c r="A11003" s="12" t="str">
        <f>("400-0060")</f>
        <v>400-0060</v>
      </c>
      <c r="B11003" s="15"/>
      <c r="C11003" s="32">
        <v>27.5</v>
      </c>
    </row>
    <row r="11004" spans="1:3" x14ac:dyDescent="0.25">
      <c r="A11004" s="12" t="str">
        <f>("400-0061")</f>
        <v>400-0061</v>
      </c>
      <c r="B11004" s="15" t="s">
        <v>15085</v>
      </c>
      <c r="C11004" s="32">
        <v>158.75</v>
      </c>
    </row>
    <row r="11005" spans="1:3" ht="31.5" x14ac:dyDescent="0.25">
      <c r="A11005" s="12" t="str">
        <f>("400-0063")</f>
        <v>400-0063</v>
      </c>
      <c r="B11005" s="15" t="s">
        <v>15086</v>
      </c>
      <c r="C11005" s="32">
        <v>242.5</v>
      </c>
    </row>
    <row r="11006" spans="1:3" ht="31.5" x14ac:dyDescent="0.25">
      <c r="A11006" s="12" t="str">
        <f>("400-0064")</f>
        <v>400-0064</v>
      </c>
      <c r="B11006" s="15" t="s">
        <v>15087</v>
      </c>
      <c r="C11006" s="32">
        <v>93.75</v>
      </c>
    </row>
    <row r="11007" spans="1:3" x14ac:dyDescent="0.25">
      <c r="A11007" s="12" t="str">
        <f>("400-0065")</f>
        <v>400-0065</v>
      </c>
      <c r="B11007" s="15" t="s">
        <v>15088</v>
      </c>
      <c r="C11007" s="32">
        <v>542.5</v>
      </c>
    </row>
    <row r="11008" spans="1:3" x14ac:dyDescent="0.25">
      <c r="A11008" s="12" t="str">
        <f>("400-0066")</f>
        <v>400-0066</v>
      </c>
      <c r="B11008" s="15" t="s">
        <v>15089</v>
      </c>
      <c r="C11008" s="32">
        <v>111.25</v>
      </c>
    </row>
    <row r="11009" spans="1:3" x14ac:dyDescent="0.25">
      <c r="A11009" s="12" t="str">
        <f>("400-0068")</f>
        <v>400-0068</v>
      </c>
      <c r="B11009" s="15" t="s">
        <v>15090</v>
      </c>
      <c r="C11009" s="32">
        <v>317.5</v>
      </c>
    </row>
    <row r="11010" spans="1:3" x14ac:dyDescent="0.25">
      <c r="A11010" s="12" t="str">
        <f>("400-0069")</f>
        <v>400-0069</v>
      </c>
      <c r="B11010" s="15" t="s">
        <v>15091</v>
      </c>
      <c r="C11010" s="32">
        <v>317.5</v>
      </c>
    </row>
    <row r="11011" spans="1:3" x14ac:dyDescent="0.25">
      <c r="A11011" s="12" t="str">
        <f>("400-0070")</f>
        <v>400-0070</v>
      </c>
      <c r="B11011" s="15" t="s">
        <v>15092</v>
      </c>
      <c r="C11011" s="32">
        <v>317.5</v>
      </c>
    </row>
    <row r="11012" spans="1:3" ht="31.5" x14ac:dyDescent="0.25">
      <c r="A11012" s="12" t="str">
        <f>("400-0071")</f>
        <v>400-0071</v>
      </c>
      <c r="B11012" s="15" t="s">
        <v>15093</v>
      </c>
      <c r="C11012" s="32">
        <v>438.75</v>
      </c>
    </row>
    <row r="11013" spans="1:3" x14ac:dyDescent="0.25">
      <c r="A11013" s="12" t="str">
        <f>("400-0072")</f>
        <v>400-0072</v>
      </c>
      <c r="B11013" s="15" t="s">
        <v>15094</v>
      </c>
      <c r="C11013" s="32">
        <v>158.75</v>
      </c>
    </row>
    <row r="11014" spans="1:3" x14ac:dyDescent="0.25">
      <c r="A11014" s="12" t="str">
        <f>("400-0073")</f>
        <v>400-0073</v>
      </c>
      <c r="B11014" s="15" t="s">
        <v>15045</v>
      </c>
      <c r="C11014" s="32">
        <v>242.5</v>
      </c>
    </row>
    <row r="11015" spans="1:3" ht="47.25" x14ac:dyDescent="0.25">
      <c r="A11015" s="12" t="str">
        <f>("500-0001")</f>
        <v>500-0001</v>
      </c>
      <c r="B11015" s="15" t="s">
        <v>15095</v>
      </c>
      <c r="C11015" s="32">
        <v>1092.5</v>
      </c>
    </row>
    <row r="11016" spans="1:3" ht="47.25" x14ac:dyDescent="0.25">
      <c r="A11016" s="12" t="str">
        <f>("500-0002")</f>
        <v>500-0002</v>
      </c>
      <c r="B11016" s="15" t="s">
        <v>15095</v>
      </c>
      <c r="C11016" s="32">
        <v>1021.25</v>
      </c>
    </row>
    <row r="11017" spans="1:3" x14ac:dyDescent="0.25">
      <c r="A11017" s="12" t="str">
        <f>("500-0004")</f>
        <v>500-0004</v>
      </c>
      <c r="B11017" s="15"/>
      <c r="C11017" s="32">
        <v>142.5</v>
      </c>
    </row>
    <row r="11018" spans="1:3" x14ac:dyDescent="0.25">
      <c r="A11018" s="12" t="str">
        <f>("500-0006")</f>
        <v>500-0006</v>
      </c>
      <c r="B11018" s="15"/>
      <c r="C11018" s="32">
        <v>860</v>
      </c>
    </row>
    <row r="11019" spans="1:3" x14ac:dyDescent="0.25">
      <c r="A11019" s="12" t="str">
        <f>("500-0007")</f>
        <v>500-0007</v>
      </c>
      <c r="B11019" s="15" t="s">
        <v>15096</v>
      </c>
      <c r="C11019" s="32">
        <v>510</v>
      </c>
    </row>
    <row r="11020" spans="1:3" x14ac:dyDescent="0.25">
      <c r="A11020" s="12" t="str">
        <f>("500-0008")</f>
        <v>500-0008</v>
      </c>
      <c r="B11020" s="15" t="s">
        <v>15097</v>
      </c>
      <c r="C11020" s="32">
        <v>1075</v>
      </c>
    </row>
    <row r="11021" spans="1:3" x14ac:dyDescent="0.25">
      <c r="A11021" s="12" t="str">
        <f>("500-0009")</f>
        <v>500-0009</v>
      </c>
      <c r="B11021" s="15" t="s">
        <v>15098</v>
      </c>
      <c r="C11021" s="32">
        <v>1021.25</v>
      </c>
    </row>
    <row r="11022" spans="1:3" x14ac:dyDescent="0.25">
      <c r="A11022" s="12" t="str">
        <f>("500-0010")</f>
        <v>500-0010</v>
      </c>
      <c r="B11022" s="15"/>
      <c r="C11022" s="32">
        <v>862.5</v>
      </c>
    </row>
    <row r="11023" spans="1:3" x14ac:dyDescent="0.25">
      <c r="A11023" s="12" t="str">
        <f>("500-0011")</f>
        <v>500-0011</v>
      </c>
      <c r="B11023" s="15"/>
      <c r="C11023" s="32">
        <v>581.25</v>
      </c>
    </row>
    <row r="11024" spans="1:3" x14ac:dyDescent="0.25">
      <c r="A11024" s="12" t="str">
        <f>("500-0012")</f>
        <v>500-0012</v>
      </c>
      <c r="B11024" s="15"/>
      <c r="C11024" s="32">
        <v>526.25</v>
      </c>
    </row>
    <row r="11025" spans="1:3" x14ac:dyDescent="0.25">
      <c r="A11025" s="12" t="str">
        <f>("500-0013")</f>
        <v>500-0013</v>
      </c>
      <c r="B11025" s="15" t="s">
        <v>15099</v>
      </c>
      <c r="C11025" s="32">
        <v>1092.5</v>
      </c>
    </row>
    <row r="11026" spans="1:3" x14ac:dyDescent="0.25">
      <c r="A11026" s="12" t="str">
        <f>("500-0014")</f>
        <v>500-0014</v>
      </c>
      <c r="B11026" s="15" t="s">
        <v>14984</v>
      </c>
      <c r="C11026" s="32">
        <v>1075</v>
      </c>
    </row>
    <row r="11027" spans="1:3" x14ac:dyDescent="0.25">
      <c r="A11027" s="12" t="str">
        <f>("500-0015")</f>
        <v>500-0015</v>
      </c>
      <c r="B11027" s="15" t="s">
        <v>15100</v>
      </c>
      <c r="C11027" s="32">
        <v>1092.5</v>
      </c>
    </row>
    <row r="11028" spans="1:3" x14ac:dyDescent="0.25">
      <c r="A11028" s="12" t="str">
        <f>("500-0016")</f>
        <v>500-0016</v>
      </c>
      <c r="B11028" s="15"/>
      <c r="C11028" s="32">
        <v>470</v>
      </c>
    </row>
    <row r="11029" spans="1:3" x14ac:dyDescent="0.25">
      <c r="A11029" s="12" t="str">
        <f>("500-0017")</f>
        <v>500-0017</v>
      </c>
      <c r="B11029" s="15"/>
      <c r="C11029" s="32">
        <v>120</v>
      </c>
    </row>
    <row r="11030" spans="1:3" x14ac:dyDescent="0.25">
      <c r="A11030" s="12" t="str">
        <f>("500-00175")</f>
        <v>500-00175</v>
      </c>
      <c r="B11030" s="15"/>
      <c r="C11030" s="32">
        <v>161.25</v>
      </c>
    </row>
    <row r="11031" spans="1:3" x14ac:dyDescent="0.25">
      <c r="A11031" s="12" t="str">
        <f>("500-0018")</f>
        <v>500-0018</v>
      </c>
      <c r="B11031" s="15" t="s">
        <v>15101</v>
      </c>
      <c r="C11031" s="32">
        <v>1075</v>
      </c>
    </row>
    <row r="11032" spans="1:3" x14ac:dyDescent="0.25">
      <c r="A11032" s="12" t="str">
        <f>("500-0019")</f>
        <v>500-0019</v>
      </c>
      <c r="B11032" s="15"/>
      <c r="C11032" s="32">
        <v>618.75</v>
      </c>
    </row>
    <row r="11033" spans="1:3" x14ac:dyDescent="0.25">
      <c r="A11033" s="12" t="str">
        <f>("500-0020")</f>
        <v>500-0020</v>
      </c>
      <c r="B11033" s="15" t="s">
        <v>15102</v>
      </c>
      <c r="C11033" s="32">
        <v>100</v>
      </c>
    </row>
    <row r="11034" spans="1:3" x14ac:dyDescent="0.25">
      <c r="A11034" s="12" t="str">
        <f>("500-0021")</f>
        <v>500-0021</v>
      </c>
      <c r="B11034" s="15" t="s">
        <v>15103</v>
      </c>
      <c r="C11034" s="32">
        <v>158.75</v>
      </c>
    </row>
    <row r="11035" spans="1:3" x14ac:dyDescent="0.25">
      <c r="A11035" s="12" t="str">
        <f>("500-0022")</f>
        <v>500-0022</v>
      </c>
      <c r="B11035" s="15" t="s">
        <v>15104</v>
      </c>
      <c r="C11035" s="32">
        <v>1021.25</v>
      </c>
    </row>
    <row r="11036" spans="1:3" x14ac:dyDescent="0.25">
      <c r="A11036" s="12" t="str">
        <f>("500-0024")</f>
        <v>500-0024</v>
      </c>
      <c r="B11036" s="15" t="s">
        <v>15097</v>
      </c>
      <c r="C11036" s="32">
        <v>1376.25</v>
      </c>
    </row>
    <row r="11037" spans="1:3" x14ac:dyDescent="0.25">
      <c r="A11037" s="12" t="str">
        <f>("500-0025")</f>
        <v>500-0025</v>
      </c>
      <c r="B11037" s="15" t="s">
        <v>14984</v>
      </c>
      <c r="C11037" s="32">
        <v>1427.5</v>
      </c>
    </row>
    <row r="11038" spans="1:3" x14ac:dyDescent="0.25">
      <c r="A11038" s="12" t="str">
        <f>("500-0026")</f>
        <v>500-0026</v>
      </c>
      <c r="B11038" s="15" t="s">
        <v>15101</v>
      </c>
      <c r="C11038" s="32">
        <v>1451.25</v>
      </c>
    </row>
    <row r="11039" spans="1:3" ht="47.25" x14ac:dyDescent="0.25">
      <c r="A11039" s="12" t="str">
        <f>("500-0027")</f>
        <v>500-0027</v>
      </c>
      <c r="B11039" s="15" t="s">
        <v>15095</v>
      </c>
      <c r="C11039" s="32">
        <v>1430</v>
      </c>
    </row>
    <row r="11040" spans="1:3" x14ac:dyDescent="0.25">
      <c r="A11040" s="12" t="str">
        <f>("500-0028")</f>
        <v>500-0028</v>
      </c>
      <c r="B11040" s="15" t="s">
        <v>15104</v>
      </c>
      <c r="C11040" s="32">
        <v>1430</v>
      </c>
    </row>
    <row r="11041" spans="1:3" x14ac:dyDescent="0.25">
      <c r="A11041" s="12" t="str">
        <f>("500-0029")</f>
        <v>500-0029</v>
      </c>
      <c r="B11041" s="15" t="s">
        <v>15105</v>
      </c>
      <c r="C11041" s="32">
        <v>1430</v>
      </c>
    </row>
    <row r="11042" spans="1:3" ht="31.5" x14ac:dyDescent="0.25">
      <c r="A11042" s="12" t="str">
        <f>("500-0030")</f>
        <v>500-0030</v>
      </c>
      <c r="B11042" s="15" t="s">
        <v>15106</v>
      </c>
      <c r="C11042" s="32">
        <v>1430</v>
      </c>
    </row>
    <row r="11043" spans="1:3" x14ac:dyDescent="0.25">
      <c r="A11043" s="12" t="str">
        <f>("500-0031")</f>
        <v>500-0031</v>
      </c>
      <c r="B11043" s="15" t="s">
        <v>15107</v>
      </c>
      <c r="C11043" s="32">
        <v>1430</v>
      </c>
    </row>
    <row r="11044" spans="1:3" x14ac:dyDescent="0.25">
      <c r="A11044" s="12" t="str">
        <f>("500-0032")</f>
        <v>500-0032</v>
      </c>
      <c r="B11044" s="15"/>
      <c r="C11044" s="32">
        <v>1430</v>
      </c>
    </row>
    <row r="11045" spans="1:3" ht="31.5" x14ac:dyDescent="0.25">
      <c r="A11045" s="12" t="str">
        <f>("500-0033")</f>
        <v>500-0033</v>
      </c>
      <c r="B11045" s="15" t="s">
        <v>15108</v>
      </c>
      <c r="C11045" s="32">
        <v>1092.5</v>
      </c>
    </row>
    <row r="11046" spans="1:3" ht="31.5" x14ac:dyDescent="0.25">
      <c r="A11046" s="12" t="str">
        <f>("500-0034")</f>
        <v>500-0034</v>
      </c>
      <c r="B11046" s="15" t="s">
        <v>15108</v>
      </c>
      <c r="C11046" s="32">
        <v>880</v>
      </c>
    </row>
    <row r="11047" spans="1:3" x14ac:dyDescent="0.25">
      <c r="A11047" s="12" t="str">
        <f>("500-0035")</f>
        <v>500-0035</v>
      </c>
      <c r="B11047" s="15" t="s">
        <v>15109</v>
      </c>
      <c r="C11047" s="32">
        <v>1092.5</v>
      </c>
    </row>
    <row r="11048" spans="1:3" x14ac:dyDescent="0.25">
      <c r="A11048" s="12" t="str">
        <f>("500-0036")</f>
        <v>500-0036</v>
      </c>
      <c r="B11048" s="15" t="s">
        <v>15105</v>
      </c>
      <c r="C11048" s="32">
        <v>1092.5</v>
      </c>
    </row>
    <row r="11049" spans="1:3" x14ac:dyDescent="0.25">
      <c r="A11049" s="12" t="str">
        <f>("500-0037")</f>
        <v>500-0037</v>
      </c>
      <c r="B11049" s="15" t="s">
        <v>15110</v>
      </c>
      <c r="C11049" s="32">
        <v>1092.5</v>
      </c>
    </row>
    <row r="11050" spans="1:3" x14ac:dyDescent="0.25">
      <c r="A11050" s="12" t="str">
        <f>("500-0038")</f>
        <v>500-0038</v>
      </c>
      <c r="B11050" s="15"/>
      <c r="C11050" s="32">
        <v>1092.5</v>
      </c>
    </row>
    <row r="11051" spans="1:3" ht="31.5" x14ac:dyDescent="0.25">
      <c r="A11051" s="12" t="str">
        <f>("500-0040")</f>
        <v>500-0040</v>
      </c>
      <c r="B11051" s="15" t="s">
        <v>15111</v>
      </c>
      <c r="C11051" s="32">
        <v>1125</v>
      </c>
    </row>
    <row r="11052" spans="1:3" x14ac:dyDescent="0.25">
      <c r="A11052" s="12" t="str">
        <f>("500-0041")</f>
        <v>500-0041</v>
      </c>
      <c r="B11052" s="15" t="s">
        <v>15112</v>
      </c>
      <c r="C11052" s="32">
        <v>1092.5</v>
      </c>
    </row>
    <row r="11053" spans="1:3" ht="31.5" x14ac:dyDescent="0.25">
      <c r="A11053" s="12" t="str">
        <f>("500-0042")</f>
        <v>500-0042</v>
      </c>
      <c r="B11053" s="15" t="s">
        <v>15113</v>
      </c>
      <c r="C11053" s="32">
        <v>1021.25</v>
      </c>
    </row>
    <row r="11054" spans="1:3" ht="47.25" x14ac:dyDescent="0.25">
      <c r="A11054" s="12" t="str">
        <f>("500-0043")</f>
        <v>500-0043</v>
      </c>
      <c r="B11054" s="15" t="s">
        <v>15114</v>
      </c>
      <c r="C11054" s="32">
        <v>1178.75</v>
      </c>
    </row>
    <row r="11055" spans="1:3" x14ac:dyDescent="0.25">
      <c r="A11055" s="12" t="str">
        <f>("500-0044")</f>
        <v>500-0044</v>
      </c>
      <c r="B11055" s="15" t="s">
        <v>15104</v>
      </c>
      <c r="C11055" s="32">
        <v>880</v>
      </c>
    </row>
    <row r="11056" spans="1:3" x14ac:dyDescent="0.25">
      <c r="A11056" s="12" t="str">
        <f>("500-0045")</f>
        <v>500-0045</v>
      </c>
      <c r="B11056" s="15" t="s">
        <v>15109</v>
      </c>
      <c r="C11056" s="32">
        <v>880</v>
      </c>
    </row>
    <row r="11057" spans="1:3" x14ac:dyDescent="0.25">
      <c r="A11057" s="12" t="str">
        <f>("500-0046")</f>
        <v>500-0046</v>
      </c>
      <c r="B11057" s="15" t="s">
        <v>15115</v>
      </c>
      <c r="C11057" s="32">
        <v>880</v>
      </c>
    </row>
    <row r="11058" spans="1:3" x14ac:dyDescent="0.25">
      <c r="A11058" s="12" t="str">
        <f>("500-0047")</f>
        <v>500-0047</v>
      </c>
      <c r="B11058" s="15" t="s">
        <v>15100</v>
      </c>
      <c r="C11058" s="32">
        <v>880</v>
      </c>
    </row>
    <row r="11059" spans="1:3" x14ac:dyDescent="0.25">
      <c r="A11059" s="12" t="str">
        <f>("500-00476")</f>
        <v>500-00476</v>
      </c>
      <c r="B11059" s="15"/>
      <c r="C11059" s="32">
        <v>13.75</v>
      </c>
    </row>
    <row r="11060" spans="1:3" x14ac:dyDescent="0.25">
      <c r="A11060" s="12" t="str">
        <f>("500-0048")</f>
        <v>500-0048</v>
      </c>
      <c r="B11060" s="15" t="s">
        <v>15112</v>
      </c>
      <c r="C11060" s="32">
        <v>838.75</v>
      </c>
    </row>
    <row r="11061" spans="1:3" ht="47.25" x14ac:dyDescent="0.25">
      <c r="A11061" s="12" t="str">
        <f>("500-0049")</f>
        <v>500-0049</v>
      </c>
      <c r="B11061" s="15" t="s">
        <v>15095</v>
      </c>
      <c r="C11061" s="32">
        <v>867.5</v>
      </c>
    </row>
    <row r="11062" spans="1:3" ht="31.5" x14ac:dyDescent="0.25">
      <c r="A11062" s="12" t="str">
        <f>("500-0050")</f>
        <v>500-0050</v>
      </c>
      <c r="B11062" s="15" t="s">
        <v>15108</v>
      </c>
      <c r="C11062" s="32">
        <v>1021.25</v>
      </c>
    </row>
    <row r="11063" spans="1:3" x14ac:dyDescent="0.25">
      <c r="A11063" s="12" t="str">
        <f>("500-0051")</f>
        <v>500-0051</v>
      </c>
      <c r="B11063" s="15" t="s">
        <v>15109</v>
      </c>
      <c r="C11063" s="32">
        <v>1021.25</v>
      </c>
    </row>
    <row r="11064" spans="1:3" ht="31.5" x14ac:dyDescent="0.25">
      <c r="A11064" s="12" t="str">
        <f>("500-0052")</f>
        <v>500-0052</v>
      </c>
      <c r="B11064" s="15" t="s">
        <v>15108</v>
      </c>
      <c r="C11064" s="32">
        <v>1021.25</v>
      </c>
    </row>
    <row r="11065" spans="1:3" ht="47.25" x14ac:dyDescent="0.25">
      <c r="A11065" s="12" t="str">
        <f>("500-0054")</f>
        <v>500-0054</v>
      </c>
      <c r="B11065" s="15" t="s">
        <v>15095</v>
      </c>
      <c r="C11065" s="32">
        <v>1021.25</v>
      </c>
    </row>
    <row r="11066" spans="1:3" x14ac:dyDescent="0.25">
      <c r="A11066" s="12" t="str">
        <f>("500-0055")</f>
        <v>500-0055</v>
      </c>
      <c r="B11066" s="15" t="s">
        <v>15116</v>
      </c>
      <c r="C11066" s="32">
        <v>145</v>
      </c>
    </row>
    <row r="11067" spans="1:3" x14ac:dyDescent="0.25">
      <c r="A11067" s="12" t="str">
        <f>("500-0056")</f>
        <v>500-0056</v>
      </c>
      <c r="B11067" s="15" t="s">
        <v>15117</v>
      </c>
      <c r="C11067" s="32">
        <v>145</v>
      </c>
    </row>
    <row r="11068" spans="1:3" x14ac:dyDescent="0.25">
      <c r="A11068" s="12" t="str">
        <f>("500-0057")</f>
        <v>500-0057</v>
      </c>
      <c r="B11068" s="15" t="s">
        <v>15118</v>
      </c>
      <c r="C11068" s="32">
        <v>92.5</v>
      </c>
    </row>
    <row r="11069" spans="1:3" x14ac:dyDescent="0.25">
      <c r="A11069" s="12" t="str">
        <f>("500-0058")</f>
        <v>500-0058</v>
      </c>
      <c r="B11069" s="15" t="s">
        <v>15119</v>
      </c>
      <c r="C11069" s="32">
        <v>92.5</v>
      </c>
    </row>
    <row r="11070" spans="1:3" x14ac:dyDescent="0.25">
      <c r="A11070" s="12" t="str">
        <f>("500-0059")</f>
        <v>500-0059</v>
      </c>
      <c r="B11070" s="15" t="s">
        <v>15120</v>
      </c>
      <c r="C11070" s="32">
        <v>92.5</v>
      </c>
    </row>
    <row r="11071" spans="1:3" x14ac:dyDescent="0.25">
      <c r="A11071" s="12" t="str">
        <f>("500-0060")</f>
        <v>500-0060</v>
      </c>
      <c r="B11071" s="15" t="s">
        <v>15121</v>
      </c>
      <c r="C11071" s="32">
        <v>133.75</v>
      </c>
    </row>
    <row r="11072" spans="1:3" x14ac:dyDescent="0.25">
      <c r="A11072" s="12" t="str">
        <f>("500-0061")</f>
        <v>500-0061</v>
      </c>
      <c r="B11072" s="15" t="s">
        <v>15122</v>
      </c>
      <c r="C11072" s="32">
        <v>92.5</v>
      </c>
    </row>
    <row r="11073" spans="1:3" x14ac:dyDescent="0.25">
      <c r="A11073" s="12" t="str">
        <f>("500-0062")</f>
        <v>500-0062</v>
      </c>
      <c r="B11073" s="15" t="s">
        <v>15123</v>
      </c>
      <c r="C11073" s="32">
        <v>92.5</v>
      </c>
    </row>
    <row r="11074" spans="1:3" x14ac:dyDescent="0.25">
      <c r="A11074" s="12" t="str">
        <f>("500-0063")</f>
        <v>500-0063</v>
      </c>
      <c r="B11074" s="15"/>
      <c r="C11074" s="32">
        <v>92.5</v>
      </c>
    </row>
    <row r="11075" spans="1:3" x14ac:dyDescent="0.25">
      <c r="A11075" s="12" t="str">
        <f>("500-0064")</f>
        <v>500-0064</v>
      </c>
      <c r="B11075" s="15" t="s">
        <v>15124</v>
      </c>
      <c r="C11075" s="32">
        <v>92.5</v>
      </c>
    </row>
    <row r="11076" spans="1:3" x14ac:dyDescent="0.25">
      <c r="A11076" s="12" t="str">
        <f>("500-0065")</f>
        <v>500-0065</v>
      </c>
      <c r="B11076" s="15" t="s">
        <v>15125</v>
      </c>
      <c r="C11076" s="32">
        <v>92.5</v>
      </c>
    </row>
    <row r="11077" spans="1:3" x14ac:dyDescent="0.25">
      <c r="A11077" s="12" t="str">
        <f>("500-0066")</f>
        <v>500-0066</v>
      </c>
      <c r="B11077" s="15" t="s">
        <v>15126</v>
      </c>
      <c r="C11077" s="32">
        <v>63.75</v>
      </c>
    </row>
    <row r="11078" spans="1:3" x14ac:dyDescent="0.25">
      <c r="A11078" s="12" t="str">
        <f>("500-0067")</f>
        <v>500-0067</v>
      </c>
      <c r="B11078" s="15" t="s">
        <v>15127</v>
      </c>
      <c r="C11078" s="32">
        <v>331.25</v>
      </c>
    </row>
    <row r="11079" spans="1:3" x14ac:dyDescent="0.25">
      <c r="A11079" s="12" t="str">
        <f>("500-00677")</f>
        <v>500-00677</v>
      </c>
      <c r="B11079" s="15"/>
      <c r="C11079" s="32">
        <v>43.75</v>
      </c>
    </row>
    <row r="11080" spans="1:3" x14ac:dyDescent="0.25">
      <c r="A11080" s="12" t="str">
        <f>("500-0068")</f>
        <v>500-0068</v>
      </c>
      <c r="B11080" s="15" t="s">
        <v>15128</v>
      </c>
      <c r="C11080" s="32">
        <v>157.5</v>
      </c>
    </row>
    <row r="11081" spans="1:3" x14ac:dyDescent="0.25">
      <c r="A11081" s="12" t="str">
        <f>("500-0069")</f>
        <v>500-0069</v>
      </c>
      <c r="B11081" s="15" t="s">
        <v>15129</v>
      </c>
      <c r="C11081" s="32">
        <v>100</v>
      </c>
    </row>
    <row r="11082" spans="1:3" x14ac:dyDescent="0.25">
      <c r="A11082" s="12" t="str">
        <f>("500-0070")</f>
        <v>500-0070</v>
      </c>
      <c r="B11082" s="15" t="s">
        <v>15130</v>
      </c>
      <c r="C11082" s="32">
        <v>166.25</v>
      </c>
    </row>
    <row r="11083" spans="1:3" x14ac:dyDescent="0.25">
      <c r="A11083" s="12" t="str">
        <f>("500-0071")</f>
        <v>500-0071</v>
      </c>
      <c r="B11083" s="15" t="s">
        <v>15131</v>
      </c>
      <c r="C11083" s="32">
        <v>166.25</v>
      </c>
    </row>
    <row r="11084" spans="1:3" x14ac:dyDescent="0.25">
      <c r="A11084" s="12" t="str">
        <f>("500-0073")</f>
        <v>500-0073</v>
      </c>
      <c r="B11084" s="15" t="s">
        <v>15132</v>
      </c>
      <c r="C11084" s="32">
        <v>166.25</v>
      </c>
    </row>
    <row r="11085" spans="1:3" x14ac:dyDescent="0.25">
      <c r="A11085" s="12" t="str">
        <f>("500-0074")</f>
        <v>500-0074</v>
      </c>
      <c r="B11085" s="15" t="s">
        <v>15133</v>
      </c>
      <c r="C11085" s="32">
        <v>226.25</v>
      </c>
    </row>
    <row r="11086" spans="1:3" x14ac:dyDescent="0.25">
      <c r="A11086" s="12" t="str">
        <f>("500-0075")</f>
        <v>500-0075</v>
      </c>
      <c r="B11086" s="15" t="s">
        <v>15134</v>
      </c>
      <c r="C11086" s="32">
        <v>83.75</v>
      </c>
    </row>
    <row r="11087" spans="1:3" x14ac:dyDescent="0.25">
      <c r="A11087" s="12" t="str">
        <f>("500-0076")</f>
        <v>500-0076</v>
      </c>
      <c r="B11087" s="15"/>
      <c r="C11087" s="32">
        <v>166.25</v>
      </c>
    </row>
    <row r="11088" spans="1:3" x14ac:dyDescent="0.25">
      <c r="A11088" s="12" t="str">
        <f>("500-0077")</f>
        <v>500-0077</v>
      </c>
      <c r="B11088" s="15"/>
      <c r="C11088" s="32">
        <v>201.25</v>
      </c>
    </row>
    <row r="11089" spans="1:3" x14ac:dyDescent="0.25">
      <c r="A11089" s="12" t="str">
        <f>("500-0078")</f>
        <v>500-0078</v>
      </c>
      <c r="B11089" s="15" t="s">
        <v>15135</v>
      </c>
      <c r="C11089" s="32">
        <v>201.25</v>
      </c>
    </row>
    <row r="11090" spans="1:3" x14ac:dyDescent="0.25">
      <c r="A11090" s="12" t="str">
        <f>("500-0079")</f>
        <v>500-0079</v>
      </c>
      <c r="B11090" s="15"/>
      <c r="C11090" s="32">
        <v>280</v>
      </c>
    </row>
    <row r="11091" spans="1:3" ht="31.5" x14ac:dyDescent="0.25">
      <c r="A11091" s="12" t="str">
        <f>("500-0080")</f>
        <v>500-0080</v>
      </c>
      <c r="B11091" s="15" t="s">
        <v>15136</v>
      </c>
      <c r="C11091" s="32">
        <v>280</v>
      </c>
    </row>
    <row r="11092" spans="1:3" x14ac:dyDescent="0.25">
      <c r="A11092" s="12" t="str">
        <f>("500-0081")</f>
        <v>500-0081</v>
      </c>
      <c r="B11092" s="15" t="s">
        <v>15137</v>
      </c>
      <c r="C11092" s="32">
        <v>241.25</v>
      </c>
    </row>
    <row r="11093" spans="1:3" x14ac:dyDescent="0.25">
      <c r="A11093" s="12" t="str">
        <f>("500-0082")</f>
        <v>500-0082</v>
      </c>
      <c r="B11093" s="15" t="s">
        <v>15138</v>
      </c>
      <c r="C11093" s="32">
        <v>307.5</v>
      </c>
    </row>
    <row r="11094" spans="1:3" ht="47.25" x14ac:dyDescent="0.25">
      <c r="A11094" s="12" t="str">
        <f>("500-0083")</f>
        <v>500-0083</v>
      </c>
      <c r="B11094" s="15" t="s">
        <v>15095</v>
      </c>
      <c r="C11094" s="32">
        <v>867.5</v>
      </c>
    </row>
    <row r="11095" spans="1:3" x14ac:dyDescent="0.25">
      <c r="A11095" s="12" t="str">
        <f>("500-0085")</f>
        <v>500-0085</v>
      </c>
      <c r="B11095" s="15"/>
      <c r="C11095" s="32">
        <v>482.5</v>
      </c>
    </row>
    <row r="11096" spans="1:3" x14ac:dyDescent="0.25">
      <c r="A11096" s="12" t="str">
        <f>("500-0088")</f>
        <v>500-0088</v>
      </c>
      <c r="B11096" s="15"/>
      <c r="C11096" s="32">
        <v>526.25</v>
      </c>
    </row>
    <row r="11097" spans="1:3" x14ac:dyDescent="0.25">
      <c r="A11097" s="12" t="str">
        <f>("500-0089")</f>
        <v>500-0089</v>
      </c>
      <c r="B11097" s="15" t="s">
        <v>15139</v>
      </c>
      <c r="C11097" s="32">
        <v>145</v>
      </c>
    </row>
    <row r="11098" spans="1:3" x14ac:dyDescent="0.25">
      <c r="A11098" s="12" t="str">
        <f>("500-0090")</f>
        <v>500-0090</v>
      </c>
      <c r="B11098" s="15" t="s">
        <v>15140</v>
      </c>
      <c r="C11098" s="32">
        <v>1597.5</v>
      </c>
    </row>
    <row r="11099" spans="1:3" x14ac:dyDescent="0.25">
      <c r="A11099" s="12" t="str">
        <f>("500-0091")</f>
        <v>500-0091</v>
      </c>
      <c r="B11099" s="15" t="s">
        <v>15141</v>
      </c>
      <c r="C11099" s="32">
        <v>303.75</v>
      </c>
    </row>
    <row r="11100" spans="1:3" x14ac:dyDescent="0.25">
      <c r="A11100" s="12" t="str">
        <f>("500-0092")</f>
        <v>500-0092</v>
      </c>
      <c r="B11100" s="15" t="s">
        <v>15142</v>
      </c>
      <c r="C11100" s="32">
        <v>990</v>
      </c>
    </row>
    <row r="11101" spans="1:3" ht="31.5" x14ac:dyDescent="0.25">
      <c r="A11101" s="12" t="str">
        <f>("500-0093")</f>
        <v>500-0093</v>
      </c>
      <c r="B11101" s="15" t="s">
        <v>15108</v>
      </c>
      <c r="C11101" s="32">
        <v>990</v>
      </c>
    </row>
    <row r="11102" spans="1:3" x14ac:dyDescent="0.25">
      <c r="A11102" s="12" t="str">
        <f>("500-0094")</f>
        <v>500-0094</v>
      </c>
      <c r="B11102" s="15" t="s">
        <v>15143</v>
      </c>
      <c r="C11102" s="32">
        <v>990</v>
      </c>
    </row>
    <row r="11103" spans="1:3" x14ac:dyDescent="0.25">
      <c r="A11103" s="12" t="str">
        <f>("500-0095")</f>
        <v>500-0095</v>
      </c>
      <c r="B11103" s="15" t="s">
        <v>15144</v>
      </c>
      <c r="C11103" s="32">
        <v>1021.25</v>
      </c>
    </row>
    <row r="11104" spans="1:3" x14ac:dyDescent="0.25">
      <c r="A11104" s="12" t="str">
        <f>("500-0100")</f>
        <v>500-0100</v>
      </c>
      <c r="B11104" s="15"/>
      <c r="C11104" s="32">
        <v>103.75</v>
      </c>
    </row>
    <row r="11105" spans="1:3" x14ac:dyDescent="0.25">
      <c r="A11105" s="12" t="str">
        <f>("500-0101")</f>
        <v>500-0101</v>
      </c>
      <c r="B11105" s="15" t="s">
        <v>15145</v>
      </c>
      <c r="C11105" s="32">
        <v>103.75</v>
      </c>
    </row>
    <row r="11106" spans="1:3" x14ac:dyDescent="0.25">
      <c r="A11106" s="12" t="str">
        <f>("500-0102")</f>
        <v>500-0102</v>
      </c>
      <c r="B11106" s="15" t="s">
        <v>15146</v>
      </c>
      <c r="C11106" s="32">
        <v>15</v>
      </c>
    </row>
    <row r="11107" spans="1:3" x14ac:dyDescent="0.25">
      <c r="A11107" s="12" t="str">
        <f>("500-0103")</f>
        <v>500-0103</v>
      </c>
      <c r="B11107" s="15"/>
      <c r="C11107" s="32">
        <v>15</v>
      </c>
    </row>
    <row r="11108" spans="1:3" x14ac:dyDescent="0.25">
      <c r="A11108" s="12" t="str">
        <f>("500-0104")</f>
        <v>500-0104</v>
      </c>
      <c r="B11108" s="15"/>
      <c r="C11108" s="32">
        <v>20</v>
      </c>
    </row>
    <row r="11109" spans="1:3" x14ac:dyDescent="0.25">
      <c r="A11109" s="12" t="str">
        <f>("500-0105")</f>
        <v>500-0105</v>
      </c>
      <c r="B11109" s="15"/>
      <c r="C11109" s="32">
        <v>15</v>
      </c>
    </row>
    <row r="11110" spans="1:3" x14ac:dyDescent="0.25">
      <c r="A11110" s="12" t="str">
        <f>("500-0106")</f>
        <v>500-0106</v>
      </c>
      <c r="B11110" s="15"/>
      <c r="C11110" s="32">
        <v>23.75</v>
      </c>
    </row>
    <row r="11111" spans="1:3" x14ac:dyDescent="0.25">
      <c r="A11111" s="12" t="str">
        <f>("500-0107")</f>
        <v>500-0107</v>
      </c>
      <c r="B11111" s="15" t="s">
        <v>15147</v>
      </c>
      <c r="C11111" s="32">
        <v>58.75</v>
      </c>
    </row>
    <row r="11112" spans="1:3" x14ac:dyDescent="0.25">
      <c r="A11112" s="12" t="str">
        <f>("500-0108")</f>
        <v>500-0108</v>
      </c>
      <c r="B11112" s="15"/>
      <c r="C11112" s="32">
        <v>58.75</v>
      </c>
    </row>
    <row r="11113" spans="1:3" x14ac:dyDescent="0.25">
      <c r="A11113" s="12" t="str">
        <f>("500-0109")</f>
        <v>500-0109</v>
      </c>
      <c r="B11113" s="15"/>
      <c r="C11113" s="32">
        <v>58.75</v>
      </c>
    </row>
    <row r="11114" spans="1:3" x14ac:dyDescent="0.25">
      <c r="A11114" s="12" t="str">
        <f>("500-0112")</f>
        <v>500-0112</v>
      </c>
      <c r="B11114" s="15" t="s">
        <v>15148</v>
      </c>
      <c r="C11114" s="32">
        <v>33.75</v>
      </c>
    </row>
    <row r="11115" spans="1:3" x14ac:dyDescent="0.25">
      <c r="A11115" s="12" t="str">
        <f>("500-0113")</f>
        <v>500-0113</v>
      </c>
      <c r="B11115" s="15" t="s">
        <v>15149</v>
      </c>
      <c r="C11115" s="32">
        <v>6.25</v>
      </c>
    </row>
    <row r="11116" spans="1:3" x14ac:dyDescent="0.25">
      <c r="A11116" s="12" t="str">
        <f>("500-0114")</f>
        <v>500-0114</v>
      </c>
      <c r="B11116" s="15" t="s">
        <v>15150</v>
      </c>
      <c r="C11116" s="32">
        <v>476.25</v>
      </c>
    </row>
    <row r="11117" spans="1:3" x14ac:dyDescent="0.25">
      <c r="A11117" s="12" t="str">
        <f>("500-0115")</f>
        <v>500-0115</v>
      </c>
      <c r="B11117" s="15"/>
      <c r="C11117" s="32">
        <v>626.25</v>
      </c>
    </row>
    <row r="11118" spans="1:3" x14ac:dyDescent="0.25">
      <c r="A11118" s="12" t="str">
        <f>("500-0116")</f>
        <v>500-0116</v>
      </c>
      <c r="B11118" s="15" t="s">
        <v>15151</v>
      </c>
      <c r="C11118" s="32">
        <v>176.25</v>
      </c>
    </row>
    <row r="11119" spans="1:3" x14ac:dyDescent="0.25">
      <c r="A11119" s="12" t="str">
        <f>("500-0118")</f>
        <v>500-0118</v>
      </c>
      <c r="B11119" s="15"/>
      <c r="C11119" s="32">
        <v>230</v>
      </c>
    </row>
    <row r="11120" spans="1:3" ht="31.5" x14ac:dyDescent="0.25">
      <c r="A11120" s="12" t="str">
        <f>("500-0119")</f>
        <v>500-0119</v>
      </c>
      <c r="B11120" s="15" t="s">
        <v>15152</v>
      </c>
      <c r="C11120" s="32">
        <v>230</v>
      </c>
    </row>
    <row r="11121" spans="1:3" x14ac:dyDescent="0.25">
      <c r="A11121" s="12" t="str">
        <f>("500-0121")</f>
        <v>500-0121</v>
      </c>
      <c r="B11121" s="15"/>
      <c r="C11121" s="32">
        <v>230</v>
      </c>
    </row>
    <row r="11122" spans="1:3" x14ac:dyDescent="0.25">
      <c r="A11122" s="12" t="str">
        <f>("500-0122")</f>
        <v>500-0122</v>
      </c>
      <c r="B11122" s="15" t="s">
        <v>14984</v>
      </c>
      <c r="C11122" s="32">
        <v>271.25</v>
      </c>
    </row>
    <row r="11123" spans="1:3" x14ac:dyDescent="0.25">
      <c r="A11123" s="12" t="str">
        <f>("500-0125")</f>
        <v>500-0125</v>
      </c>
      <c r="B11123" s="15" t="s">
        <v>14984</v>
      </c>
      <c r="C11123" s="32">
        <v>292.5</v>
      </c>
    </row>
    <row r="11124" spans="1:3" x14ac:dyDescent="0.25">
      <c r="A11124" s="12" t="str">
        <f>("500-0126")</f>
        <v>500-0126</v>
      </c>
      <c r="B11124" s="15" t="s">
        <v>15153</v>
      </c>
      <c r="C11124" s="32">
        <v>120</v>
      </c>
    </row>
    <row r="11125" spans="1:3" ht="63" x14ac:dyDescent="0.25">
      <c r="A11125" s="12" t="str">
        <f>("500-0128")</f>
        <v>500-0128</v>
      </c>
      <c r="B11125" s="15" t="s">
        <v>15154</v>
      </c>
      <c r="C11125" s="32">
        <v>255</v>
      </c>
    </row>
    <row r="11126" spans="1:3" x14ac:dyDescent="0.25">
      <c r="A11126" s="12" t="str">
        <f>("500-0129")</f>
        <v>500-0129</v>
      </c>
      <c r="B11126" s="15"/>
      <c r="C11126" s="32">
        <v>255</v>
      </c>
    </row>
    <row r="11127" spans="1:3" ht="63" x14ac:dyDescent="0.25">
      <c r="A11127" s="12" t="str">
        <f>("500-0130")</f>
        <v>500-0130</v>
      </c>
      <c r="B11127" s="15" t="s">
        <v>15155</v>
      </c>
      <c r="C11127" s="32">
        <v>255</v>
      </c>
    </row>
    <row r="11128" spans="1:3" x14ac:dyDescent="0.25">
      <c r="A11128" s="12" t="str">
        <f>("500-0133")</f>
        <v>500-0133</v>
      </c>
      <c r="B11128" s="15"/>
      <c r="C11128" s="32">
        <v>255</v>
      </c>
    </row>
    <row r="11129" spans="1:3" x14ac:dyDescent="0.25">
      <c r="A11129" s="12" t="str">
        <f>("500-0134")</f>
        <v>500-0134</v>
      </c>
      <c r="B11129" s="15" t="s">
        <v>15156</v>
      </c>
      <c r="C11129" s="32">
        <v>211.25</v>
      </c>
    </row>
    <row r="11130" spans="1:3" x14ac:dyDescent="0.25">
      <c r="A11130" s="12" t="str">
        <f>("500-0135")</f>
        <v>500-0135</v>
      </c>
      <c r="B11130" s="15" t="s">
        <v>15157</v>
      </c>
      <c r="C11130" s="32">
        <v>226.25</v>
      </c>
    </row>
    <row r="11131" spans="1:3" x14ac:dyDescent="0.25">
      <c r="A11131" s="12" t="str">
        <f>("500-0136")</f>
        <v>500-0136</v>
      </c>
      <c r="B11131" s="15"/>
      <c r="C11131" s="32">
        <v>226.25</v>
      </c>
    </row>
    <row r="11132" spans="1:3" x14ac:dyDescent="0.25">
      <c r="A11132" s="12" t="str">
        <f>("500-0137")</f>
        <v>500-0137</v>
      </c>
      <c r="B11132" s="15"/>
      <c r="C11132" s="32">
        <v>211.25</v>
      </c>
    </row>
    <row r="11133" spans="1:3" x14ac:dyDescent="0.25">
      <c r="A11133" s="12" t="str">
        <f>("500-0138")</f>
        <v>500-0138</v>
      </c>
      <c r="B11133" s="15"/>
      <c r="C11133" s="32">
        <v>303.75</v>
      </c>
    </row>
    <row r="11134" spans="1:3" x14ac:dyDescent="0.25">
      <c r="A11134" s="12" t="str">
        <f>("500-0139")</f>
        <v>500-0139</v>
      </c>
      <c r="B11134" s="15" t="s">
        <v>15097</v>
      </c>
      <c r="C11134" s="32">
        <v>371.25</v>
      </c>
    </row>
    <row r="11135" spans="1:3" x14ac:dyDescent="0.25">
      <c r="A11135" s="12" t="str">
        <f>("500-0140")</f>
        <v>500-0140</v>
      </c>
      <c r="B11135" s="15" t="s">
        <v>14981</v>
      </c>
      <c r="C11135" s="32">
        <v>111.25</v>
      </c>
    </row>
    <row r="11136" spans="1:3" x14ac:dyDescent="0.25">
      <c r="A11136" s="12" t="str">
        <f>("500-0141")</f>
        <v>500-0141</v>
      </c>
      <c r="B11136" s="15"/>
      <c r="C11136" s="32">
        <v>142.5</v>
      </c>
    </row>
    <row r="11137" spans="1:3" x14ac:dyDescent="0.25">
      <c r="A11137" s="12" t="str">
        <f>("500-0142")</f>
        <v>500-0142</v>
      </c>
      <c r="B11137" s="15" t="s">
        <v>15158</v>
      </c>
      <c r="C11137" s="32">
        <v>92.5</v>
      </c>
    </row>
    <row r="11138" spans="1:3" x14ac:dyDescent="0.25">
      <c r="A11138" s="12" t="str">
        <f>("500-0143")</f>
        <v>500-0143</v>
      </c>
      <c r="B11138" s="15"/>
      <c r="C11138" s="32">
        <v>230</v>
      </c>
    </row>
    <row r="11139" spans="1:3" x14ac:dyDescent="0.25">
      <c r="A11139" s="12" t="str">
        <f>("500-0144")</f>
        <v>500-0144</v>
      </c>
      <c r="B11139" s="15"/>
      <c r="C11139" s="32">
        <v>92.5</v>
      </c>
    </row>
    <row r="11140" spans="1:3" x14ac:dyDescent="0.25">
      <c r="A11140" s="12" t="str">
        <f>("500-0145")</f>
        <v>500-0145</v>
      </c>
      <c r="B11140" s="15"/>
      <c r="C11140" s="32">
        <v>97.5</v>
      </c>
    </row>
    <row r="11141" spans="1:3" x14ac:dyDescent="0.25">
      <c r="A11141" s="12" t="str">
        <f>("500-0146")</f>
        <v>500-0146</v>
      </c>
      <c r="B11141" s="15" t="s">
        <v>15159</v>
      </c>
      <c r="C11141" s="32">
        <v>151.25</v>
      </c>
    </row>
    <row r="11142" spans="1:3" x14ac:dyDescent="0.25">
      <c r="A11142" s="12" t="str">
        <f>("500-0148")</f>
        <v>500-0148</v>
      </c>
      <c r="B11142" s="15" t="s">
        <v>15160</v>
      </c>
      <c r="C11142" s="32">
        <v>208.75</v>
      </c>
    </row>
    <row r="11143" spans="1:3" x14ac:dyDescent="0.25">
      <c r="A11143" s="12" t="str">
        <f>("500-0149")</f>
        <v>500-0149</v>
      </c>
      <c r="B11143" s="15" t="s">
        <v>15161</v>
      </c>
      <c r="C11143" s="32">
        <v>250</v>
      </c>
    </row>
    <row r="11144" spans="1:3" x14ac:dyDescent="0.25">
      <c r="A11144" s="12" t="str">
        <f>("500-0150")</f>
        <v>500-0150</v>
      </c>
      <c r="B11144" s="15" t="s">
        <v>15162</v>
      </c>
      <c r="C11144" s="32">
        <v>290</v>
      </c>
    </row>
    <row r="11145" spans="1:3" x14ac:dyDescent="0.25">
      <c r="A11145" s="12" t="str">
        <f>("500-0151")</f>
        <v>500-0151</v>
      </c>
      <c r="B11145" s="15" t="s">
        <v>15163</v>
      </c>
      <c r="C11145" s="32">
        <v>290</v>
      </c>
    </row>
    <row r="11146" spans="1:3" x14ac:dyDescent="0.25">
      <c r="A11146" s="12" t="str">
        <f>("500-0152")</f>
        <v>500-0152</v>
      </c>
      <c r="B11146" s="15" t="s">
        <v>15164</v>
      </c>
      <c r="C11146" s="32">
        <v>290</v>
      </c>
    </row>
    <row r="11147" spans="1:3" x14ac:dyDescent="0.25">
      <c r="A11147" s="12" t="str">
        <f>("500-0153")</f>
        <v>500-0153</v>
      </c>
      <c r="B11147" s="15" t="s">
        <v>15165</v>
      </c>
      <c r="C11147" s="32">
        <v>307.5</v>
      </c>
    </row>
    <row r="11148" spans="1:3" x14ac:dyDescent="0.25">
      <c r="A11148" s="12" t="str">
        <f>("500-0154")</f>
        <v>500-0154</v>
      </c>
      <c r="B11148" s="15" t="s">
        <v>15166</v>
      </c>
      <c r="C11148" s="32">
        <v>198.75</v>
      </c>
    </row>
    <row r="11149" spans="1:3" x14ac:dyDescent="0.25">
      <c r="A11149" s="12" t="str">
        <f>("500-0158")</f>
        <v>500-0158</v>
      </c>
      <c r="B11149" s="15" t="s">
        <v>15167</v>
      </c>
      <c r="C11149" s="32">
        <v>798.75</v>
      </c>
    </row>
    <row r="11150" spans="1:3" x14ac:dyDescent="0.25">
      <c r="A11150" s="12" t="str">
        <f>("500-0159")</f>
        <v>500-0159</v>
      </c>
      <c r="B11150" s="15" t="s">
        <v>15168</v>
      </c>
      <c r="C11150" s="32">
        <v>853.75</v>
      </c>
    </row>
    <row r="11151" spans="1:3" x14ac:dyDescent="0.25">
      <c r="A11151" s="12" t="str">
        <f>("500-0160")</f>
        <v>500-0160</v>
      </c>
      <c r="B11151" s="15"/>
      <c r="C11151" s="32">
        <v>853.75</v>
      </c>
    </row>
    <row r="11152" spans="1:3" x14ac:dyDescent="0.25">
      <c r="A11152" s="12" t="str">
        <f>("500-0161")</f>
        <v>500-0161</v>
      </c>
      <c r="B11152" s="15"/>
      <c r="C11152" s="32">
        <v>853.75</v>
      </c>
    </row>
    <row r="11153" spans="1:3" x14ac:dyDescent="0.25">
      <c r="A11153" s="12" t="str">
        <f>("500-0162")</f>
        <v>500-0162</v>
      </c>
      <c r="B11153" s="15" t="s">
        <v>15169</v>
      </c>
      <c r="C11153" s="32">
        <v>853.75</v>
      </c>
    </row>
    <row r="11154" spans="1:3" x14ac:dyDescent="0.25">
      <c r="A11154" s="12" t="str">
        <f>("500-0166")</f>
        <v>500-0166</v>
      </c>
      <c r="B11154" s="15" t="s">
        <v>15170</v>
      </c>
      <c r="C11154" s="32">
        <v>220</v>
      </c>
    </row>
    <row r="11155" spans="1:3" x14ac:dyDescent="0.25">
      <c r="A11155" s="12" t="str">
        <f>("500-0168")</f>
        <v>500-0168</v>
      </c>
      <c r="B11155" s="15"/>
      <c r="C11155" s="32">
        <v>915</v>
      </c>
    </row>
    <row r="11156" spans="1:3" x14ac:dyDescent="0.25">
      <c r="A11156" s="12" t="str">
        <f>("500-0175")</f>
        <v>500-0175</v>
      </c>
      <c r="B11156" s="15" t="s">
        <v>15171</v>
      </c>
      <c r="C11156" s="32">
        <v>815</v>
      </c>
    </row>
    <row r="11157" spans="1:3" x14ac:dyDescent="0.25">
      <c r="A11157" s="12" t="str">
        <f>("500-0176")</f>
        <v>500-0176</v>
      </c>
      <c r="B11157" s="15" t="s">
        <v>15172</v>
      </c>
      <c r="C11157" s="32">
        <v>855</v>
      </c>
    </row>
    <row r="11158" spans="1:3" x14ac:dyDescent="0.25">
      <c r="A11158" s="12" t="str">
        <f>("500-0182")</f>
        <v>500-0182</v>
      </c>
      <c r="B11158" s="15" t="s">
        <v>15173</v>
      </c>
      <c r="C11158" s="32">
        <v>875</v>
      </c>
    </row>
    <row r="11159" spans="1:3" x14ac:dyDescent="0.25">
      <c r="A11159" s="12" t="str">
        <f>("500-0183")</f>
        <v>500-0183</v>
      </c>
      <c r="B11159" s="15"/>
      <c r="C11159" s="32">
        <v>412.5</v>
      </c>
    </row>
    <row r="11160" spans="1:3" x14ac:dyDescent="0.25">
      <c r="A11160" s="12" t="str">
        <f>("500-0184")</f>
        <v>500-0184</v>
      </c>
      <c r="B11160" s="15"/>
      <c r="C11160" s="32">
        <v>311.25</v>
      </c>
    </row>
    <row r="11161" spans="1:3" x14ac:dyDescent="0.25">
      <c r="A11161" s="12" t="str">
        <f>("500-0185")</f>
        <v>500-0185</v>
      </c>
      <c r="B11161" s="15"/>
      <c r="C11161" s="32">
        <v>412.5</v>
      </c>
    </row>
    <row r="11162" spans="1:3" x14ac:dyDescent="0.25">
      <c r="A11162" s="12" t="str">
        <f>("500-0186")</f>
        <v>500-0186</v>
      </c>
      <c r="B11162" s="15"/>
      <c r="C11162" s="32">
        <v>450</v>
      </c>
    </row>
    <row r="11163" spans="1:3" x14ac:dyDescent="0.25">
      <c r="A11163" s="12" t="str">
        <f>("500-0187")</f>
        <v>500-0187</v>
      </c>
      <c r="B11163" s="15"/>
      <c r="C11163" s="32">
        <v>413.75</v>
      </c>
    </row>
    <row r="11164" spans="1:3" x14ac:dyDescent="0.25">
      <c r="A11164" s="12" t="str">
        <f>("500-0188")</f>
        <v>500-0188</v>
      </c>
      <c r="B11164" s="15"/>
      <c r="C11164" s="32">
        <v>476.25</v>
      </c>
    </row>
    <row r="11165" spans="1:3" ht="31.5" x14ac:dyDescent="0.25">
      <c r="A11165" s="12" t="str">
        <f>("500-0189")</f>
        <v>500-0189</v>
      </c>
      <c r="B11165" s="15" t="s">
        <v>15174</v>
      </c>
      <c r="C11165" s="32">
        <v>475</v>
      </c>
    </row>
    <row r="11166" spans="1:3" x14ac:dyDescent="0.25">
      <c r="A11166" s="12" t="str">
        <f>("500-0190")</f>
        <v>500-0190</v>
      </c>
      <c r="B11166" s="15"/>
      <c r="C11166" s="32">
        <v>452.5</v>
      </c>
    </row>
    <row r="11167" spans="1:3" x14ac:dyDescent="0.25">
      <c r="A11167" s="12" t="str">
        <f>("500-0191")</f>
        <v>500-0191</v>
      </c>
      <c r="B11167" s="15"/>
      <c r="C11167" s="32">
        <v>452.5</v>
      </c>
    </row>
    <row r="11168" spans="1:3" x14ac:dyDescent="0.25">
      <c r="A11168" s="12" t="str">
        <f>("500-0192")</f>
        <v>500-0192</v>
      </c>
      <c r="B11168" s="15" t="s">
        <v>15175</v>
      </c>
      <c r="C11168" s="32">
        <v>452.5</v>
      </c>
    </row>
    <row r="11169" spans="1:3" x14ac:dyDescent="0.25">
      <c r="A11169" s="12" t="str">
        <f>("500-0193")</f>
        <v>500-0193</v>
      </c>
      <c r="B11169" s="15" t="s">
        <v>15176</v>
      </c>
      <c r="C11169" s="32">
        <v>697.5</v>
      </c>
    </row>
    <row r="11170" spans="1:3" x14ac:dyDescent="0.25">
      <c r="A11170" s="12" t="str">
        <f>("500-0194")</f>
        <v>500-0194</v>
      </c>
      <c r="B11170" s="15" t="s">
        <v>15177</v>
      </c>
      <c r="C11170" s="32">
        <v>697.5</v>
      </c>
    </row>
    <row r="11171" spans="1:3" x14ac:dyDescent="0.25">
      <c r="A11171" s="12" t="str">
        <f>("500-0195")</f>
        <v>500-0195</v>
      </c>
      <c r="B11171" s="15" t="s">
        <v>15178</v>
      </c>
      <c r="C11171" s="32">
        <v>570</v>
      </c>
    </row>
    <row r="11172" spans="1:3" x14ac:dyDescent="0.25">
      <c r="A11172" s="12" t="str">
        <f>("500-0196")</f>
        <v>500-0196</v>
      </c>
      <c r="B11172" s="15"/>
      <c r="C11172" s="32">
        <v>662.5</v>
      </c>
    </row>
    <row r="11173" spans="1:3" x14ac:dyDescent="0.25">
      <c r="A11173" s="12" t="str">
        <f>("500-0197")</f>
        <v>500-0197</v>
      </c>
      <c r="B11173" s="15"/>
      <c r="C11173" s="32">
        <v>855</v>
      </c>
    </row>
    <row r="11174" spans="1:3" x14ac:dyDescent="0.25">
      <c r="A11174" s="12" t="str">
        <f>("500-0198")</f>
        <v>500-0198</v>
      </c>
      <c r="B11174" s="15"/>
      <c r="C11174" s="32">
        <v>855</v>
      </c>
    </row>
    <row r="11175" spans="1:3" x14ac:dyDescent="0.25">
      <c r="A11175" s="12" t="str">
        <f>("500-0199")</f>
        <v>500-0199</v>
      </c>
      <c r="B11175" s="15"/>
      <c r="C11175" s="32">
        <v>875</v>
      </c>
    </row>
    <row r="11176" spans="1:3" x14ac:dyDescent="0.25">
      <c r="A11176" s="12" t="str">
        <f>("500-0200")</f>
        <v>500-0200</v>
      </c>
      <c r="B11176" s="15" t="s">
        <v>15179</v>
      </c>
      <c r="C11176" s="32">
        <v>618.75</v>
      </c>
    </row>
    <row r="11177" spans="1:3" x14ac:dyDescent="0.25">
      <c r="A11177" s="12" t="str">
        <f>("500-0201")</f>
        <v>500-0201</v>
      </c>
      <c r="B11177" s="15" t="s">
        <v>15101</v>
      </c>
      <c r="C11177" s="32">
        <v>667.5</v>
      </c>
    </row>
    <row r="11178" spans="1:3" x14ac:dyDescent="0.25">
      <c r="A11178" s="12" t="str">
        <f>("500-0202")</f>
        <v>500-0202</v>
      </c>
      <c r="B11178" s="15" t="s">
        <v>14984</v>
      </c>
      <c r="C11178" s="32">
        <v>667.5</v>
      </c>
    </row>
    <row r="11179" spans="1:3" x14ac:dyDescent="0.25">
      <c r="A11179" s="12" t="str">
        <f>("500-0203")</f>
        <v>500-0203</v>
      </c>
      <c r="B11179" s="15" t="s">
        <v>15097</v>
      </c>
      <c r="C11179" s="32">
        <v>717.5</v>
      </c>
    </row>
    <row r="11180" spans="1:3" x14ac:dyDescent="0.25">
      <c r="A11180" s="12" t="str">
        <f>("500-0204")</f>
        <v>500-0204</v>
      </c>
      <c r="B11180" s="15" t="s">
        <v>14981</v>
      </c>
      <c r="C11180" s="32">
        <v>966.25</v>
      </c>
    </row>
    <row r="11181" spans="1:3" x14ac:dyDescent="0.25">
      <c r="A11181" s="12" t="str">
        <f>("500-0205")</f>
        <v>500-0205</v>
      </c>
      <c r="B11181" s="15" t="s">
        <v>14984</v>
      </c>
      <c r="C11181" s="32">
        <v>966.25</v>
      </c>
    </row>
    <row r="11182" spans="1:3" x14ac:dyDescent="0.25">
      <c r="A11182" s="12" t="str">
        <f>("500-0206")</f>
        <v>500-0206</v>
      </c>
      <c r="B11182" s="15" t="s">
        <v>15097</v>
      </c>
      <c r="C11182" s="32">
        <v>1075</v>
      </c>
    </row>
    <row r="11183" spans="1:3" x14ac:dyDescent="0.25">
      <c r="A11183" s="12" t="str">
        <f>("500-0207")</f>
        <v>500-0207</v>
      </c>
      <c r="B11183" s="15" t="s">
        <v>15180</v>
      </c>
      <c r="C11183" s="32">
        <v>908.75</v>
      </c>
    </row>
    <row r="11184" spans="1:3" x14ac:dyDescent="0.25">
      <c r="A11184" s="12" t="str">
        <f>("500-0208")</f>
        <v>500-0208</v>
      </c>
      <c r="B11184" s="15" t="s">
        <v>15181</v>
      </c>
      <c r="C11184" s="32">
        <v>798.75</v>
      </c>
    </row>
    <row r="11185" spans="1:3" x14ac:dyDescent="0.25">
      <c r="A11185" s="12" t="str">
        <f>("500-0209")</f>
        <v>500-0209</v>
      </c>
      <c r="B11185" s="15"/>
      <c r="C11185" s="32">
        <v>798.75</v>
      </c>
    </row>
    <row r="11186" spans="1:3" x14ac:dyDescent="0.25">
      <c r="A11186" s="12" t="str">
        <f>("500-0211")</f>
        <v>500-0211</v>
      </c>
      <c r="B11186" s="15" t="s">
        <v>15153</v>
      </c>
      <c r="C11186" s="32">
        <v>828.75</v>
      </c>
    </row>
    <row r="11187" spans="1:3" x14ac:dyDescent="0.25">
      <c r="A11187" s="12" t="str">
        <f>("500-0212")</f>
        <v>500-0212</v>
      </c>
      <c r="B11187" s="15" t="s">
        <v>15182</v>
      </c>
      <c r="C11187" s="32">
        <v>947.5</v>
      </c>
    </row>
    <row r="11188" spans="1:3" x14ac:dyDescent="0.25">
      <c r="A11188" s="12" t="str">
        <f>("500-0213")</f>
        <v>500-0213</v>
      </c>
      <c r="B11188" s="15" t="s">
        <v>15183</v>
      </c>
      <c r="C11188" s="32">
        <v>120</v>
      </c>
    </row>
    <row r="11189" spans="1:3" x14ac:dyDescent="0.25">
      <c r="A11189" s="12" t="str">
        <f>("500-0214")</f>
        <v>500-0214</v>
      </c>
      <c r="B11189" s="15" t="s">
        <v>15184</v>
      </c>
      <c r="C11189" s="32">
        <v>662.5</v>
      </c>
    </row>
    <row r="11190" spans="1:3" x14ac:dyDescent="0.25">
      <c r="A11190" s="12" t="str">
        <f>("500-0215")</f>
        <v>500-0215</v>
      </c>
      <c r="B11190" s="15" t="s">
        <v>15185</v>
      </c>
      <c r="C11190" s="32">
        <v>156.25</v>
      </c>
    </row>
    <row r="11191" spans="1:3" x14ac:dyDescent="0.25">
      <c r="A11191" s="12" t="str">
        <f>("500-0216")</f>
        <v>500-0216</v>
      </c>
      <c r="B11191" s="15" t="s">
        <v>15185</v>
      </c>
      <c r="C11191" s="32">
        <v>155</v>
      </c>
    </row>
    <row r="11192" spans="1:3" x14ac:dyDescent="0.25">
      <c r="A11192" s="12" t="str">
        <f>("500-0217")</f>
        <v>500-0217</v>
      </c>
      <c r="B11192" s="15" t="s">
        <v>15186</v>
      </c>
      <c r="C11192" s="32">
        <v>92.5</v>
      </c>
    </row>
    <row r="11193" spans="1:3" x14ac:dyDescent="0.25">
      <c r="A11193" s="12" t="str">
        <f>("500-0218")</f>
        <v>500-0218</v>
      </c>
      <c r="B11193" s="15" t="s">
        <v>15187</v>
      </c>
      <c r="C11193" s="32">
        <v>92.5</v>
      </c>
    </row>
    <row r="11194" spans="1:3" x14ac:dyDescent="0.25">
      <c r="A11194" s="12" t="str">
        <f>("500-0220")</f>
        <v>500-0220</v>
      </c>
      <c r="B11194" s="15"/>
      <c r="C11194" s="32">
        <v>371.25</v>
      </c>
    </row>
    <row r="11195" spans="1:3" x14ac:dyDescent="0.25">
      <c r="A11195" s="12" t="str">
        <f>("500-0221")</f>
        <v>500-0221</v>
      </c>
      <c r="B11195" s="15"/>
      <c r="C11195" s="32">
        <v>111.25</v>
      </c>
    </row>
    <row r="11196" spans="1:3" ht="47.25" x14ac:dyDescent="0.25">
      <c r="A11196" s="12" t="str">
        <f>("500-0222")</f>
        <v>500-0222</v>
      </c>
      <c r="B11196" s="15" t="s">
        <v>15095</v>
      </c>
      <c r="C11196" s="32">
        <v>63.75</v>
      </c>
    </row>
    <row r="11197" spans="1:3" x14ac:dyDescent="0.25">
      <c r="A11197" s="12" t="str">
        <f>("500-0223")</f>
        <v>500-0223</v>
      </c>
      <c r="B11197" s="15" t="s">
        <v>15188</v>
      </c>
      <c r="C11197" s="32">
        <v>68.75</v>
      </c>
    </row>
    <row r="11198" spans="1:3" ht="31.5" x14ac:dyDescent="0.25">
      <c r="A11198" s="12" t="str">
        <f>("500-0224")</f>
        <v>500-0224</v>
      </c>
      <c r="B11198" s="15" t="s">
        <v>15189</v>
      </c>
      <c r="C11198" s="32">
        <v>76.25</v>
      </c>
    </row>
    <row r="11199" spans="1:3" x14ac:dyDescent="0.25">
      <c r="A11199" s="12" t="str">
        <f>("500-0225")</f>
        <v>500-0225</v>
      </c>
      <c r="B11199" s="15" t="s">
        <v>15190</v>
      </c>
      <c r="C11199" s="32">
        <v>143.75</v>
      </c>
    </row>
    <row r="11200" spans="1:3" x14ac:dyDescent="0.25">
      <c r="A11200" s="12" t="str">
        <f>("500-0226")</f>
        <v>500-0226</v>
      </c>
      <c r="B11200" s="15" t="s">
        <v>15191</v>
      </c>
      <c r="C11200" s="32">
        <v>68.75</v>
      </c>
    </row>
    <row r="11201" spans="1:3" x14ac:dyDescent="0.25">
      <c r="A11201" s="12" t="str">
        <f>("500-0228")</f>
        <v>500-0228</v>
      </c>
      <c r="B11201" s="15" t="s">
        <v>14981</v>
      </c>
      <c r="C11201" s="32">
        <v>292.5</v>
      </c>
    </row>
    <row r="11202" spans="1:3" x14ac:dyDescent="0.25">
      <c r="A11202" s="12" t="str">
        <f>("500-0233")</f>
        <v>500-0233</v>
      </c>
      <c r="B11202" s="15" t="s">
        <v>15192</v>
      </c>
      <c r="C11202" s="32">
        <v>1112.5</v>
      </c>
    </row>
    <row r="11203" spans="1:3" x14ac:dyDescent="0.25">
      <c r="A11203" s="12" t="str">
        <f>("500-0235")</f>
        <v>500-0235</v>
      </c>
      <c r="B11203" s="15"/>
      <c r="C11203" s="32">
        <v>56.25</v>
      </c>
    </row>
    <row r="11204" spans="1:3" x14ac:dyDescent="0.25">
      <c r="A11204" s="12" t="str">
        <f>("500-0236")</f>
        <v>500-0236</v>
      </c>
      <c r="B11204" s="15"/>
      <c r="C11204" s="32">
        <v>182.5</v>
      </c>
    </row>
    <row r="11205" spans="1:3" ht="31.5" x14ac:dyDescent="0.25">
      <c r="A11205" s="12" t="str">
        <f>("500-0237")</f>
        <v>500-0237</v>
      </c>
      <c r="B11205" s="15" t="s">
        <v>15193</v>
      </c>
      <c r="C11205" s="32">
        <v>1143.75</v>
      </c>
    </row>
    <row r="11206" spans="1:3" ht="31.5" x14ac:dyDescent="0.25">
      <c r="A11206" s="12" t="str">
        <f>("500-0238")</f>
        <v>500-0238</v>
      </c>
      <c r="B11206" s="15" t="s">
        <v>15194</v>
      </c>
      <c r="C11206" s="32">
        <v>457.5</v>
      </c>
    </row>
    <row r="11207" spans="1:3" x14ac:dyDescent="0.25">
      <c r="A11207" s="12" t="str">
        <f>("500-0243")</f>
        <v>500-0243</v>
      </c>
      <c r="B11207" s="15" t="s">
        <v>15195</v>
      </c>
      <c r="C11207" s="32">
        <v>1075</v>
      </c>
    </row>
    <row r="11208" spans="1:3" x14ac:dyDescent="0.25">
      <c r="A11208" s="12" t="str">
        <f>("800-0001")</f>
        <v>800-0001</v>
      </c>
      <c r="B11208" s="15" t="s">
        <v>15196</v>
      </c>
      <c r="C11208" s="32">
        <v>681.25</v>
      </c>
    </row>
    <row r="11209" spans="1:3" x14ac:dyDescent="0.25">
      <c r="A11209" s="12" t="str">
        <f>("800-0002")</f>
        <v>800-0002</v>
      </c>
      <c r="B11209" s="15" t="s">
        <v>15196</v>
      </c>
      <c r="C11209" s="32">
        <v>681.25</v>
      </c>
    </row>
    <row r="11210" spans="1:3" x14ac:dyDescent="0.25">
      <c r="A11210" s="12" t="str">
        <f>("800-0003")</f>
        <v>800-0003</v>
      </c>
      <c r="B11210" s="15" t="s">
        <v>15197</v>
      </c>
      <c r="C11210" s="32">
        <v>790</v>
      </c>
    </row>
    <row r="11211" spans="1:3" x14ac:dyDescent="0.25">
      <c r="A11211" s="12" t="str">
        <f>("800-0004")</f>
        <v>800-0004</v>
      </c>
      <c r="B11211" s="15" t="s">
        <v>15188</v>
      </c>
      <c r="C11211" s="32">
        <v>831.25</v>
      </c>
    </row>
    <row r="11212" spans="1:3" x14ac:dyDescent="0.25">
      <c r="A11212" s="12" t="str">
        <f>("800-0005")</f>
        <v>800-0005</v>
      </c>
      <c r="B11212" s="15" t="s">
        <v>15198</v>
      </c>
      <c r="C11212" s="32">
        <v>120</v>
      </c>
    </row>
    <row r="11213" spans="1:3" x14ac:dyDescent="0.25">
      <c r="A11213" s="12" t="str">
        <f>("800-0006")</f>
        <v>800-0006</v>
      </c>
      <c r="B11213" s="15" t="s">
        <v>15199</v>
      </c>
      <c r="C11213" s="32">
        <v>702.5</v>
      </c>
    </row>
    <row r="11214" spans="1:3" x14ac:dyDescent="0.25">
      <c r="A11214" s="12" t="str">
        <f>("800-0007")</f>
        <v>800-0007</v>
      </c>
      <c r="B11214" s="15" t="s">
        <v>15200</v>
      </c>
      <c r="C11214" s="32">
        <v>682.5</v>
      </c>
    </row>
    <row r="11215" spans="1:3" x14ac:dyDescent="0.25">
      <c r="A11215" s="12" t="str">
        <f>("800-0008")</f>
        <v>800-0008</v>
      </c>
      <c r="B11215" s="15" t="s">
        <v>15201</v>
      </c>
      <c r="C11215" s="32">
        <v>682.5</v>
      </c>
    </row>
    <row r="11216" spans="1:3" x14ac:dyDescent="0.25">
      <c r="A11216" s="12" t="str">
        <f>("800-0010")</f>
        <v>800-0010</v>
      </c>
      <c r="B11216" s="15" t="s">
        <v>15202</v>
      </c>
      <c r="C11216" s="32">
        <v>190</v>
      </c>
    </row>
    <row r="11217" spans="1:3" ht="31.5" x14ac:dyDescent="0.25">
      <c r="A11217" s="12" t="str">
        <f>("800-0011")</f>
        <v>800-0011</v>
      </c>
      <c r="B11217" s="15" t="s">
        <v>15203</v>
      </c>
      <c r="C11217" s="32">
        <v>253.75</v>
      </c>
    </row>
    <row r="11218" spans="1:3" x14ac:dyDescent="0.25">
      <c r="A11218" s="12" t="str">
        <f>("800-0012")</f>
        <v>800-0012</v>
      </c>
      <c r="B11218" s="15" t="s">
        <v>15204</v>
      </c>
      <c r="C11218" s="32">
        <v>285</v>
      </c>
    </row>
    <row r="11219" spans="1:3" x14ac:dyDescent="0.25">
      <c r="A11219" s="12" t="str">
        <f>("800-0013")</f>
        <v>800-0013</v>
      </c>
      <c r="B11219" s="15" t="s">
        <v>15205</v>
      </c>
      <c r="C11219" s="32">
        <v>285</v>
      </c>
    </row>
    <row r="11220" spans="1:3" x14ac:dyDescent="0.25">
      <c r="A11220" s="12" t="str">
        <f>("800-0014")</f>
        <v>800-0014</v>
      </c>
      <c r="B11220" s="15" t="s">
        <v>15188</v>
      </c>
      <c r="C11220" s="32">
        <v>870</v>
      </c>
    </row>
    <row r="11221" spans="1:3" x14ac:dyDescent="0.25">
      <c r="A11221" s="12" t="str">
        <f>("800-0015")</f>
        <v>800-0015</v>
      </c>
      <c r="B11221" s="15" t="s">
        <v>15206</v>
      </c>
      <c r="C11221" s="32">
        <v>698.75</v>
      </c>
    </row>
    <row r="11222" spans="1:3" x14ac:dyDescent="0.25">
      <c r="A11222" s="12" t="str">
        <f>("800-0017")</f>
        <v>800-0017</v>
      </c>
      <c r="B11222" s="15" t="s">
        <v>15207</v>
      </c>
      <c r="C11222" s="32">
        <v>790</v>
      </c>
    </row>
    <row r="11223" spans="1:3" x14ac:dyDescent="0.25">
      <c r="A11223" s="12" t="str">
        <f>("800-0018")</f>
        <v>800-0018</v>
      </c>
      <c r="B11223" s="15" t="s">
        <v>15208</v>
      </c>
      <c r="C11223" s="32">
        <v>698.75</v>
      </c>
    </row>
    <row r="11224" spans="1:3" x14ac:dyDescent="0.25">
      <c r="A11224" s="12" t="str">
        <f>("800-0019")</f>
        <v>800-0019</v>
      </c>
      <c r="B11224" s="15" t="s">
        <v>15207</v>
      </c>
      <c r="C11224" s="32">
        <v>288.75</v>
      </c>
    </row>
    <row r="11225" spans="1:3" x14ac:dyDescent="0.25">
      <c r="A11225" s="12" t="str">
        <f>("800-0020")</f>
        <v>800-0020</v>
      </c>
      <c r="B11225" s="15" t="s">
        <v>15207</v>
      </c>
      <c r="C11225" s="32">
        <v>283.75</v>
      </c>
    </row>
    <row r="11226" spans="1:3" x14ac:dyDescent="0.25">
      <c r="A11226" s="12" t="str">
        <f>("800-0021")</f>
        <v>800-0021</v>
      </c>
      <c r="B11226" s="15" t="s">
        <v>15209</v>
      </c>
      <c r="C11226" s="32">
        <v>288.75</v>
      </c>
    </row>
    <row r="11227" spans="1:3" x14ac:dyDescent="0.25">
      <c r="A11227" s="12" t="str">
        <f>("800-0023")</f>
        <v>800-0023</v>
      </c>
      <c r="B11227" s="15" t="s">
        <v>15188</v>
      </c>
      <c r="C11227" s="32">
        <v>288.75</v>
      </c>
    </row>
    <row r="11228" spans="1:3" x14ac:dyDescent="0.25">
      <c r="A11228" s="12" t="str">
        <f>("800-0024")</f>
        <v>800-0024</v>
      </c>
      <c r="B11228" s="15" t="s">
        <v>15188</v>
      </c>
      <c r="C11228" s="32">
        <v>288.75</v>
      </c>
    </row>
    <row r="11229" spans="1:3" x14ac:dyDescent="0.25">
      <c r="A11229" s="12" t="str">
        <f>("800-0025")</f>
        <v>800-0025</v>
      </c>
      <c r="B11229" s="15" t="s">
        <v>15210</v>
      </c>
      <c r="C11229" s="32">
        <v>717.5</v>
      </c>
    </row>
    <row r="11230" spans="1:3" x14ac:dyDescent="0.25">
      <c r="A11230" s="12" t="str">
        <f>("800-0026")</f>
        <v>800-0026</v>
      </c>
      <c r="B11230" s="15" t="s">
        <v>15207</v>
      </c>
      <c r="C11230" s="32">
        <v>417.5</v>
      </c>
    </row>
    <row r="11231" spans="1:3" x14ac:dyDescent="0.25">
      <c r="A11231" s="12" t="str">
        <f>("800-0030")</f>
        <v>800-0030</v>
      </c>
      <c r="B11231" s="15" t="s">
        <v>15211</v>
      </c>
      <c r="C11231" s="32">
        <v>852.5</v>
      </c>
    </row>
    <row r="11232" spans="1:3" x14ac:dyDescent="0.25">
      <c r="A11232" s="12" t="str">
        <f>("800-0031")</f>
        <v>800-0031</v>
      </c>
      <c r="B11232" s="15" t="s">
        <v>15209</v>
      </c>
      <c r="C11232" s="32">
        <v>437.5</v>
      </c>
    </row>
    <row r="11233" spans="1:3" x14ac:dyDescent="0.25">
      <c r="A11233" s="12" t="str">
        <f>("800-0032")</f>
        <v>800-0032</v>
      </c>
      <c r="B11233" s="15" t="s">
        <v>15212</v>
      </c>
      <c r="C11233" s="32">
        <v>156.25</v>
      </c>
    </row>
    <row r="11234" spans="1:3" x14ac:dyDescent="0.25">
      <c r="A11234" s="12" t="str">
        <f>("800-0033")</f>
        <v>800-0033</v>
      </c>
      <c r="B11234" s="15" t="s">
        <v>15213</v>
      </c>
      <c r="C11234" s="32">
        <v>58.75</v>
      </c>
    </row>
    <row r="11235" spans="1:3" x14ac:dyDescent="0.25">
      <c r="A11235" s="12" t="str">
        <f>("800-0034")</f>
        <v>800-0034</v>
      </c>
      <c r="B11235" s="15" t="s">
        <v>15214</v>
      </c>
      <c r="C11235" s="32">
        <v>58.75</v>
      </c>
    </row>
    <row r="11236" spans="1:3" x14ac:dyDescent="0.25">
      <c r="A11236" s="12" t="str">
        <f>("800-0035")</f>
        <v>800-0035</v>
      </c>
      <c r="B11236" s="15" t="s">
        <v>15213</v>
      </c>
      <c r="C11236" s="32">
        <v>58.75</v>
      </c>
    </row>
    <row r="11237" spans="1:3" x14ac:dyDescent="0.25">
      <c r="A11237" s="12" t="str">
        <f>("800-0036")</f>
        <v>800-0036</v>
      </c>
      <c r="B11237" s="15" t="s">
        <v>15215</v>
      </c>
      <c r="C11237" s="32">
        <v>58.75</v>
      </c>
    </row>
    <row r="11238" spans="1:3" x14ac:dyDescent="0.25">
      <c r="A11238" s="12" t="str">
        <f>("800-0037")</f>
        <v>800-0037</v>
      </c>
      <c r="B11238" s="15" t="s">
        <v>15216</v>
      </c>
      <c r="C11238" s="32">
        <v>58.75</v>
      </c>
    </row>
    <row r="11239" spans="1:3" x14ac:dyDescent="0.25">
      <c r="A11239" s="12" t="str">
        <f>("800-0038")</f>
        <v>800-0038</v>
      </c>
      <c r="B11239" s="15" t="s">
        <v>15217</v>
      </c>
      <c r="C11239" s="32">
        <v>58.75</v>
      </c>
    </row>
    <row r="11240" spans="1:3" x14ac:dyDescent="0.25">
      <c r="A11240" s="12" t="str">
        <f>("800-0039")</f>
        <v>800-0039</v>
      </c>
      <c r="B11240" s="15" t="s">
        <v>15218</v>
      </c>
      <c r="C11240" s="32">
        <v>58.75</v>
      </c>
    </row>
    <row r="11241" spans="1:3" x14ac:dyDescent="0.25">
      <c r="A11241" s="12" t="str">
        <f>("800-0040")</f>
        <v>800-0040</v>
      </c>
      <c r="B11241" s="15" t="s">
        <v>15219</v>
      </c>
      <c r="C11241" s="32">
        <v>22.5</v>
      </c>
    </row>
    <row r="11242" spans="1:3" x14ac:dyDescent="0.25">
      <c r="A11242" s="12" t="str">
        <f>("800-0041")</f>
        <v>800-0041</v>
      </c>
      <c r="B11242" s="15" t="s">
        <v>15220</v>
      </c>
      <c r="C11242" s="32">
        <v>22.5</v>
      </c>
    </row>
    <row r="11243" spans="1:3" x14ac:dyDescent="0.25">
      <c r="A11243" s="12" t="str">
        <f>("800-0042")</f>
        <v>800-0042</v>
      </c>
      <c r="B11243" s="15" t="s">
        <v>15221</v>
      </c>
      <c r="C11243" s="32">
        <v>22.5</v>
      </c>
    </row>
    <row r="11244" spans="1:3" x14ac:dyDescent="0.25">
      <c r="A11244" s="12" t="str">
        <f>("800-0043")</f>
        <v>800-0043</v>
      </c>
      <c r="B11244" s="15" t="s">
        <v>15222</v>
      </c>
      <c r="C11244" s="32">
        <v>22.5</v>
      </c>
    </row>
    <row r="11245" spans="1:3" x14ac:dyDescent="0.25">
      <c r="A11245" s="12" t="str">
        <f>("800-0044")</f>
        <v>800-0044</v>
      </c>
      <c r="B11245" s="15" t="s">
        <v>15223</v>
      </c>
      <c r="C11245" s="32">
        <v>23.75</v>
      </c>
    </row>
    <row r="11246" spans="1:3" x14ac:dyDescent="0.25">
      <c r="A11246" s="12" t="str">
        <f>("800-0045")</f>
        <v>800-0045</v>
      </c>
      <c r="B11246" s="15" t="s">
        <v>15224</v>
      </c>
      <c r="C11246" s="32">
        <v>26.25</v>
      </c>
    </row>
    <row r="11247" spans="1:3" x14ac:dyDescent="0.25">
      <c r="A11247" s="12" t="str">
        <f>("800-0046")</f>
        <v>800-0046</v>
      </c>
      <c r="B11247" s="15" t="s">
        <v>15225</v>
      </c>
      <c r="C11247" s="32">
        <v>21.25</v>
      </c>
    </row>
    <row r="11248" spans="1:3" x14ac:dyDescent="0.25">
      <c r="A11248" s="12" t="str">
        <f>("800-0047")</f>
        <v>800-0047</v>
      </c>
      <c r="B11248" s="15" t="s">
        <v>15226</v>
      </c>
      <c r="C11248" s="32">
        <v>58.75</v>
      </c>
    </row>
    <row r="11249" spans="1:3" x14ac:dyDescent="0.25">
      <c r="A11249" s="12" t="str">
        <f>("800-0048")</f>
        <v>800-0048</v>
      </c>
      <c r="B11249" s="15" t="s">
        <v>15227</v>
      </c>
      <c r="C11249" s="32">
        <v>58.75</v>
      </c>
    </row>
    <row r="11250" spans="1:3" x14ac:dyDescent="0.25">
      <c r="A11250" s="12" t="str">
        <f>("800-0049")</f>
        <v>800-0049</v>
      </c>
      <c r="B11250" s="15" t="s">
        <v>15228</v>
      </c>
      <c r="C11250" s="32">
        <v>58.75</v>
      </c>
    </row>
    <row r="11251" spans="1:3" x14ac:dyDescent="0.25">
      <c r="A11251" s="12" t="str">
        <f>("800-0050")</f>
        <v>800-0050</v>
      </c>
      <c r="B11251" s="15" t="s">
        <v>15229</v>
      </c>
      <c r="C11251" s="32">
        <v>63.75</v>
      </c>
    </row>
    <row r="11252" spans="1:3" x14ac:dyDescent="0.25">
      <c r="A11252" s="12" t="str">
        <f>("800-0051")</f>
        <v>800-0051</v>
      </c>
      <c r="B11252" s="15" t="s">
        <v>15230</v>
      </c>
      <c r="C11252" s="32">
        <v>63.75</v>
      </c>
    </row>
    <row r="11253" spans="1:3" x14ac:dyDescent="0.25">
      <c r="A11253" s="12" t="str">
        <f>("800-0052")</f>
        <v>800-0052</v>
      </c>
      <c r="B11253" s="15" t="s">
        <v>15214</v>
      </c>
      <c r="C11253" s="32">
        <v>58.75</v>
      </c>
    </row>
    <row r="11254" spans="1:3" x14ac:dyDescent="0.25">
      <c r="A11254" s="12" t="str">
        <f>("800-0053")</f>
        <v>800-0053</v>
      </c>
      <c r="B11254" s="15" t="s">
        <v>15215</v>
      </c>
      <c r="C11254" s="32">
        <v>58.75</v>
      </c>
    </row>
    <row r="11255" spans="1:3" x14ac:dyDescent="0.25">
      <c r="A11255" s="12" t="str">
        <f>("800-0054")</f>
        <v>800-0054</v>
      </c>
      <c r="B11255" s="15" t="s">
        <v>15215</v>
      </c>
      <c r="C11255" s="32">
        <v>83.75</v>
      </c>
    </row>
    <row r="11256" spans="1:3" x14ac:dyDescent="0.25">
      <c r="A11256" s="12" t="str">
        <f>("800-0055")</f>
        <v>800-0055</v>
      </c>
      <c r="B11256" s="15" t="s">
        <v>15231</v>
      </c>
      <c r="C11256" s="32">
        <v>58.75</v>
      </c>
    </row>
    <row r="11257" spans="1:3" x14ac:dyDescent="0.25">
      <c r="A11257" s="12" t="str">
        <f>("800-0056")</f>
        <v>800-0056</v>
      </c>
      <c r="B11257" s="15" t="s">
        <v>15232</v>
      </c>
      <c r="C11257" s="32">
        <v>135</v>
      </c>
    </row>
    <row r="11258" spans="1:3" x14ac:dyDescent="0.25">
      <c r="A11258" s="12" t="str">
        <f>("800-0057")</f>
        <v>800-0057</v>
      </c>
      <c r="B11258" s="15" t="s">
        <v>15233</v>
      </c>
      <c r="C11258" s="32">
        <v>58.75</v>
      </c>
    </row>
    <row r="11259" spans="1:3" x14ac:dyDescent="0.25">
      <c r="A11259" s="12" t="str">
        <f>("800-0058")</f>
        <v>800-0058</v>
      </c>
      <c r="B11259" s="15" t="s">
        <v>15233</v>
      </c>
      <c r="C11259" s="32">
        <v>83.75</v>
      </c>
    </row>
    <row r="11260" spans="1:3" x14ac:dyDescent="0.25">
      <c r="A11260" s="12" t="str">
        <f>("800-0059")</f>
        <v>800-0059</v>
      </c>
      <c r="B11260" s="15" t="s">
        <v>15217</v>
      </c>
      <c r="C11260" s="32">
        <v>80</v>
      </c>
    </row>
    <row r="11261" spans="1:3" x14ac:dyDescent="0.25">
      <c r="A11261" s="12" t="str">
        <f>("800-0060")</f>
        <v>800-0060</v>
      </c>
      <c r="B11261" s="15" t="s">
        <v>15217</v>
      </c>
      <c r="C11261" s="32">
        <v>80</v>
      </c>
    </row>
    <row r="11262" spans="1:3" x14ac:dyDescent="0.25">
      <c r="A11262" s="12" t="str">
        <f>("800-0061")</f>
        <v>800-0061</v>
      </c>
      <c r="B11262" s="15" t="s">
        <v>15217</v>
      </c>
      <c r="C11262" s="32">
        <v>58.75</v>
      </c>
    </row>
    <row r="11263" spans="1:3" x14ac:dyDescent="0.25">
      <c r="A11263" s="12" t="str">
        <f>("800-0062")</f>
        <v>800-0062</v>
      </c>
      <c r="B11263" s="15" t="s">
        <v>15217</v>
      </c>
      <c r="C11263" s="32">
        <v>58.75</v>
      </c>
    </row>
    <row r="11264" spans="1:3" x14ac:dyDescent="0.25">
      <c r="A11264" s="12" t="str">
        <f>("800-0063")</f>
        <v>800-0063</v>
      </c>
      <c r="B11264" s="15" t="s">
        <v>15217</v>
      </c>
      <c r="C11264" s="32">
        <v>58.75</v>
      </c>
    </row>
    <row r="11265" spans="1:3" x14ac:dyDescent="0.25">
      <c r="A11265" s="12" t="str">
        <f>("800-0064")</f>
        <v>800-0064</v>
      </c>
      <c r="B11265" s="15" t="s">
        <v>15234</v>
      </c>
      <c r="C11265" s="32">
        <v>103.75</v>
      </c>
    </row>
    <row r="11266" spans="1:3" x14ac:dyDescent="0.25">
      <c r="A11266" s="12" t="str">
        <f>("800-0065")</f>
        <v>800-0065</v>
      </c>
      <c r="B11266" s="15" t="s">
        <v>15235</v>
      </c>
      <c r="C11266" s="32">
        <v>58.75</v>
      </c>
    </row>
    <row r="11267" spans="1:3" x14ac:dyDescent="0.25">
      <c r="A11267" s="12" t="str">
        <f>("800-0066")</f>
        <v>800-0066</v>
      </c>
      <c r="B11267" s="15" t="s">
        <v>15236</v>
      </c>
      <c r="C11267" s="32">
        <v>58.75</v>
      </c>
    </row>
    <row r="11268" spans="1:3" x14ac:dyDescent="0.25">
      <c r="A11268" s="12" t="str">
        <f>("800-0067")</f>
        <v>800-0067</v>
      </c>
      <c r="B11268" s="15" t="s">
        <v>15236</v>
      </c>
      <c r="C11268" s="32">
        <v>58.75</v>
      </c>
    </row>
    <row r="11269" spans="1:3" x14ac:dyDescent="0.25">
      <c r="A11269" s="12" t="str">
        <f>("800-0068")</f>
        <v>800-0068</v>
      </c>
      <c r="B11269" s="15" t="s">
        <v>15236</v>
      </c>
      <c r="C11269" s="32">
        <v>58.75</v>
      </c>
    </row>
    <row r="11270" spans="1:3" x14ac:dyDescent="0.25">
      <c r="A11270" s="12" t="str">
        <f>("800-0070")</f>
        <v>800-0070</v>
      </c>
      <c r="B11270" s="15" t="s">
        <v>15237</v>
      </c>
      <c r="C11270" s="32">
        <v>80</v>
      </c>
    </row>
    <row r="11271" spans="1:3" x14ac:dyDescent="0.25">
      <c r="A11271" s="12" t="str">
        <f>("800-0071")</f>
        <v>800-0071</v>
      </c>
      <c r="B11271" s="15" t="s">
        <v>15238</v>
      </c>
      <c r="C11271" s="32">
        <v>58.75</v>
      </c>
    </row>
    <row r="11272" spans="1:3" x14ac:dyDescent="0.25">
      <c r="A11272" s="12" t="str">
        <f>("800-0072")</f>
        <v>800-0072</v>
      </c>
      <c r="B11272" s="15" t="s">
        <v>15239</v>
      </c>
      <c r="C11272" s="32">
        <v>98.75</v>
      </c>
    </row>
    <row r="11273" spans="1:3" x14ac:dyDescent="0.25">
      <c r="A11273" s="12" t="str">
        <f>("800-0073")</f>
        <v>800-0073</v>
      </c>
      <c r="B11273" s="15" t="s">
        <v>15240</v>
      </c>
      <c r="C11273" s="32">
        <v>58.75</v>
      </c>
    </row>
    <row r="11274" spans="1:3" x14ac:dyDescent="0.25">
      <c r="A11274" s="12" t="str">
        <f>("800-0074")</f>
        <v>800-0074</v>
      </c>
      <c r="B11274" s="15" t="s">
        <v>15240</v>
      </c>
      <c r="C11274" s="32">
        <v>58.75</v>
      </c>
    </row>
    <row r="11275" spans="1:3" x14ac:dyDescent="0.25">
      <c r="A11275" s="12" t="str">
        <f>("800-0075")</f>
        <v>800-0075</v>
      </c>
      <c r="B11275" s="15" t="s">
        <v>15241</v>
      </c>
      <c r="C11275" s="32">
        <v>135</v>
      </c>
    </row>
    <row r="11276" spans="1:3" x14ac:dyDescent="0.25">
      <c r="A11276" s="12" t="str">
        <f>("800-0076")</f>
        <v>800-0076</v>
      </c>
      <c r="B11276" s="15" t="s">
        <v>15240</v>
      </c>
      <c r="C11276" s="32">
        <v>75</v>
      </c>
    </row>
    <row r="11277" spans="1:3" x14ac:dyDescent="0.25">
      <c r="A11277" s="12" t="str">
        <f>("800-0077")</f>
        <v>800-0077</v>
      </c>
      <c r="B11277" s="15" t="s">
        <v>15242</v>
      </c>
      <c r="C11277" s="32">
        <v>58.75</v>
      </c>
    </row>
    <row r="11278" spans="1:3" x14ac:dyDescent="0.25">
      <c r="A11278" s="12" t="str">
        <f>("800-0078")</f>
        <v>800-0078</v>
      </c>
      <c r="B11278" s="15" t="s">
        <v>15243</v>
      </c>
      <c r="C11278" s="32">
        <v>298.75</v>
      </c>
    </row>
    <row r="11279" spans="1:3" x14ac:dyDescent="0.25">
      <c r="A11279" s="12" t="str">
        <f>("800-0079")</f>
        <v>800-0079</v>
      </c>
      <c r="B11279" s="15" t="s">
        <v>15244</v>
      </c>
      <c r="C11279" s="32">
        <v>207.5</v>
      </c>
    </row>
    <row r="11280" spans="1:3" x14ac:dyDescent="0.25">
      <c r="A11280" s="12" t="str">
        <f>("800-0080")</f>
        <v>800-0080</v>
      </c>
      <c r="B11280" s="15" t="s">
        <v>15245</v>
      </c>
      <c r="C11280" s="32">
        <v>207.5</v>
      </c>
    </row>
    <row r="11281" spans="1:3" x14ac:dyDescent="0.25">
      <c r="A11281" s="12" t="str">
        <f>("800-0081")</f>
        <v>800-0081</v>
      </c>
      <c r="B11281" s="15" t="s">
        <v>15245</v>
      </c>
      <c r="C11281" s="32">
        <v>207.5</v>
      </c>
    </row>
    <row r="11282" spans="1:3" x14ac:dyDescent="0.25">
      <c r="A11282" s="12" t="str">
        <f>("800-0082")</f>
        <v>800-0082</v>
      </c>
      <c r="B11282" s="15" t="s">
        <v>15246</v>
      </c>
      <c r="C11282" s="32">
        <v>207.5</v>
      </c>
    </row>
    <row r="11283" spans="1:3" x14ac:dyDescent="0.25">
      <c r="A11283" s="12" t="str">
        <f>("800-0083")</f>
        <v>800-0083</v>
      </c>
      <c r="B11283" s="15" t="s">
        <v>15247</v>
      </c>
      <c r="C11283" s="32">
        <v>58.75</v>
      </c>
    </row>
    <row r="11284" spans="1:3" x14ac:dyDescent="0.25">
      <c r="A11284" s="12" t="str">
        <f>("800-0084")</f>
        <v>800-0084</v>
      </c>
      <c r="B11284" s="15" t="s">
        <v>15248</v>
      </c>
      <c r="C11284" s="32">
        <v>30</v>
      </c>
    </row>
    <row r="11285" spans="1:3" x14ac:dyDescent="0.25">
      <c r="A11285" s="12" t="str">
        <f>("800-0085")</f>
        <v>800-0085</v>
      </c>
      <c r="B11285" s="15" t="s">
        <v>15249</v>
      </c>
      <c r="C11285" s="32">
        <v>103.75</v>
      </c>
    </row>
    <row r="11286" spans="1:3" x14ac:dyDescent="0.25">
      <c r="A11286" s="12" t="str">
        <f>("800-0086")</f>
        <v>800-0086</v>
      </c>
      <c r="B11286" s="15" t="s">
        <v>15250</v>
      </c>
      <c r="C11286" s="32">
        <v>438.75</v>
      </c>
    </row>
    <row r="11287" spans="1:3" x14ac:dyDescent="0.25">
      <c r="A11287" s="12" t="str">
        <f>("800-0087")</f>
        <v>800-0087</v>
      </c>
      <c r="B11287" s="15" t="s">
        <v>15251</v>
      </c>
      <c r="C11287" s="32">
        <v>630</v>
      </c>
    </row>
    <row r="11288" spans="1:3" x14ac:dyDescent="0.25">
      <c r="A11288" s="12" t="str">
        <f>("800-0089")</f>
        <v>800-0089</v>
      </c>
      <c r="B11288" s="15" t="s">
        <v>15252</v>
      </c>
      <c r="C11288" s="32">
        <v>470</v>
      </c>
    </row>
    <row r="11289" spans="1:3" x14ac:dyDescent="0.25">
      <c r="A11289" s="12" t="str">
        <f>("800-0091")</f>
        <v>800-0091</v>
      </c>
      <c r="B11289" s="15" t="s">
        <v>15253</v>
      </c>
      <c r="C11289" s="32">
        <v>517.5</v>
      </c>
    </row>
    <row r="11290" spans="1:3" x14ac:dyDescent="0.25">
      <c r="A11290" s="12" t="str">
        <f>("800-0092")</f>
        <v>800-0092</v>
      </c>
      <c r="B11290" s="15" t="s">
        <v>15254</v>
      </c>
      <c r="C11290" s="32">
        <v>693.75</v>
      </c>
    </row>
    <row r="11291" spans="1:3" x14ac:dyDescent="0.25">
      <c r="A11291" s="12" t="str">
        <f>("800-0093")</f>
        <v>800-0093</v>
      </c>
      <c r="B11291" s="15" t="s">
        <v>15255</v>
      </c>
      <c r="C11291" s="32">
        <v>717.5</v>
      </c>
    </row>
    <row r="11292" spans="1:3" x14ac:dyDescent="0.25">
      <c r="A11292" s="12" t="str">
        <f>("800-0094")</f>
        <v>800-0094</v>
      </c>
      <c r="B11292" s="15" t="s">
        <v>15256</v>
      </c>
      <c r="C11292" s="32">
        <v>1960</v>
      </c>
    </row>
    <row r="11293" spans="1:3" x14ac:dyDescent="0.25">
      <c r="A11293" s="12" t="str">
        <f>("800-0096")</f>
        <v>800-0096</v>
      </c>
      <c r="B11293" s="15" t="s">
        <v>14984</v>
      </c>
      <c r="C11293" s="32">
        <v>2827.5</v>
      </c>
    </row>
    <row r="11294" spans="1:3" x14ac:dyDescent="0.25">
      <c r="A11294" s="12" t="str">
        <f>("800-0098")</f>
        <v>800-0098</v>
      </c>
      <c r="B11294" s="15" t="s">
        <v>15257</v>
      </c>
      <c r="C11294" s="32">
        <v>63.75</v>
      </c>
    </row>
    <row r="11295" spans="1:3" x14ac:dyDescent="0.25">
      <c r="A11295" s="12" t="str">
        <f>("800-0099")</f>
        <v>800-0099</v>
      </c>
      <c r="B11295" s="15" t="s">
        <v>15258</v>
      </c>
      <c r="C11295" s="32">
        <v>47.5</v>
      </c>
    </row>
    <row r="11296" spans="1:3" x14ac:dyDescent="0.25">
      <c r="A11296" s="12" t="str">
        <f>("800-0100")</f>
        <v>800-0100</v>
      </c>
      <c r="B11296" s="15" t="s">
        <v>15259</v>
      </c>
      <c r="C11296" s="32">
        <v>630</v>
      </c>
    </row>
    <row r="11297" spans="1:3" x14ac:dyDescent="0.25">
      <c r="A11297" s="12" t="str">
        <f>("800-0101")</f>
        <v>800-0101</v>
      </c>
      <c r="B11297" s="15" t="s">
        <v>15260</v>
      </c>
      <c r="C11297" s="32">
        <v>630</v>
      </c>
    </row>
    <row r="11298" spans="1:3" x14ac:dyDescent="0.25">
      <c r="A11298" s="12" t="str">
        <f>("800-0102")</f>
        <v>800-0102</v>
      </c>
      <c r="B11298" s="15" t="s">
        <v>15261</v>
      </c>
      <c r="C11298" s="32">
        <v>262.5</v>
      </c>
    </row>
    <row r="11299" spans="1:3" x14ac:dyDescent="0.25">
      <c r="A11299" s="12" t="str">
        <f>("800-0103")</f>
        <v>800-0103</v>
      </c>
      <c r="B11299" s="15" t="s">
        <v>14993</v>
      </c>
      <c r="C11299" s="32">
        <v>627.5</v>
      </c>
    </row>
    <row r="11300" spans="1:3" x14ac:dyDescent="0.25">
      <c r="A11300" s="12" t="str">
        <f>("800-0104")</f>
        <v>800-0104</v>
      </c>
      <c r="B11300" s="15" t="s">
        <v>14993</v>
      </c>
      <c r="C11300" s="32">
        <v>566.25</v>
      </c>
    </row>
    <row r="11301" spans="1:3" x14ac:dyDescent="0.25">
      <c r="A11301" s="12" t="str">
        <f>("800-0105")</f>
        <v>800-0105</v>
      </c>
      <c r="B11301" s="15" t="s">
        <v>15262</v>
      </c>
      <c r="C11301" s="32">
        <v>566.25</v>
      </c>
    </row>
    <row r="11302" spans="1:3" x14ac:dyDescent="0.25">
      <c r="A11302" s="12" t="str">
        <f>("800-0106")</f>
        <v>800-0106</v>
      </c>
      <c r="B11302" s="15" t="s">
        <v>15263</v>
      </c>
      <c r="C11302" s="32">
        <v>421.25</v>
      </c>
    </row>
    <row r="11303" spans="1:3" x14ac:dyDescent="0.25">
      <c r="A11303" s="12" t="str">
        <f>("800-0107")</f>
        <v>800-0107</v>
      </c>
      <c r="B11303" s="15" t="s">
        <v>15263</v>
      </c>
      <c r="C11303" s="32">
        <v>438.75</v>
      </c>
    </row>
    <row r="11304" spans="1:3" x14ac:dyDescent="0.25">
      <c r="A11304" s="12" t="str">
        <f>("800-0108")</f>
        <v>800-0108</v>
      </c>
      <c r="B11304" s="15" t="s">
        <v>15264</v>
      </c>
      <c r="C11304" s="32">
        <v>278.75</v>
      </c>
    </row>
    <row r="11305" spans="1:3" x14ac:dyDescent="0.25">
      <c r="A11305" s="12" t="str">
        <f>("800-0109")</f>
        <v>800-0109</v>
      </c>
      <c r="B11305" s="15" t="s">
        <v>15196</v>
      </c>
      <c r="C11305" s="32">
        <v>910</v>
      </c>
    </row>
    <row r="11306" spans="1:3" x14ac:dyDescent="0.25">
      <c r="A11306" s="12" t="str">
        <f>("800-0110")</f>
        <v>800-0110</v>
      </c>
      <c r="B11306" s="15" t="s">
        <v>15265</v>
      </c>
      <c r="C11306" s="32">
        <v>58.75</v>
      </c>
    </row>
    <row r="11307" spans="1:3" x14ac:dyDescent="0.25">
      <c r="A11307" s="12" t="str">
        <f>("800-0111")</f>
        <v>800-0111</v>
      </c>
      <c r="B11307" s="15" t="s">
        <v>15266</v>
      </c>
      <c r="C11307" s="32">
        <v>135</v>
      </c>
    </row>
    <row r="11308" spans="1:3" x14ac:dyDescent="0.25">
      <c r="A11308" s="12" t="str">
        <f>("800-0112")</f>
        <v>800-0112</v>
      </c>
      <c r="B11308" s="15" t="s">
        <v>15267</v>
      </c>
      <c r="C11308" s="32">
        <v>58.75</v>
      </c>
    </row>
    <row r="11309" spans="1:3" x14ac:dyDescent="0.25">
      <c r="A11309" s="12" t="str">
        <f>("800-0113")</f>
        <v>800-0113</v>
      </c>
      <c r="B11309" s="15" t="s">
        <v>15217</v>
      </c>
      <c r="C11309" s="32">
        <v>58.75</v>
      </c>
    </row>
    <row r="11310" spans="1:3" x14ac:dyDescent="0.25">
      <c r="A11310" s="12" t="str">
        <f>("800-0116")</f>
        <v>800-0116</v>
      </c>
      <c r="B11310" s="15" t="s">
        <v>15268</v>
      </c>
      <c r="C11310" s="32">
        <v>702.5</v>
      </c>
    </row>
    <row r="11311" spans="1:3" x14ac:dyDescent="0.25">
      <c r="A11311" s="12" t="str">
        <f>("800-0117")</f>
        <v>800-0117</v>
      </c>
      <c r="B11311" s="15" t="s">
        <v>15269</v>
      </c>
      <c r="C11311" s="32">
        <v>406.25</v>
      </c>
    </row>
    <row r="11312" spans="1:3" x14ac:dyDescent="0.25">
      <c r="A11312" s="12" t="str">
        <f>("800-0118")</f>
        <v>800-0118</v>
      </c>
      <c r="B11312" s="15" t="s">
        <v>15270</v>
      </c>
      <c r="C11312" s="32">
        <v>30</v>
      </c>
    </row>
    <row r="11313" spans="1:3" x14ac:dyDescent="0.25">
      <c r="A11313" s="12" t="str">
        <f>("800-0120")</f>
        <v>800-0120</v>
      </c>
      <c r="B11313" s="15" t="s">
        <v>15271</v>
      </c>
      <c r="C11313" s="32">
        <v>63.75</v>
      </c>
    </row>
    <row r="11314" spans="1:3" x14ac:dyDescent="0.25">
      <c r="A11314" s="12" t="str">
        <f>("800-0121")</f>
        <v>800-0121</v>
      </c>
      <c r="B11314" s="15" t="s">
        <v>15245</v>
      </c>
      <c r="C11314" s="32">
        <v>207.5</v>
      </c>
    </row>
    <row r="11315" spans="1:3" x14ac:dyDescent="0.25">
      <c r="A11315" s="12" t="str">
        <f>("800-0124")</f>
        <v>800-0124</v>
      </c>
      <c r="B11315" s="15" t="s">
        <v>15272</v>
      </c>
      <c r="C11315" s="32">
        <v>157.5</v>
      </c>
    </row>
    <row r="11316" spans="1:3" x14ac:dyDescent="0.25">
      <c r="A11316" s="12" t="str">
        <f>("800-0125")</f>
        <v>800-0125</v>
      </c>
      <c r="B11316" s="15" t="s">
        <v>15273</v>
      </c>
      <c r="C11316" s="32">
        <v>157.5</v>
      </c>
    </row>
    <row r="11317" spans="1:3" x14ac:dyDescent="0.25">
      <c r="A11317" s="12" t="str">
        <f>("800-0126")</f>
        <v>800-0126</v>
      </c>
      <c r="B11317" s="15" t="s">
        <v>15274</v>
      </c>
      <c r="C11317" s="32">
        <v>157.5</v>
      </c>
    </row>
    <row r="11318" spans="1:3" x14ac:dyDescent="0.25">
      <c r="A11318" s="12" t="str">
        <f>("800-0130")</f>
        <v>800-0130</v>
      </c>
      <c r="B11318" s="15" t="s">
        <v>14981</v>
      </c>
      <c r="C11318" s="32">
        <v>597.5</v>
      </c>
    </row>
    <row r="11319" spans="1:3" x14ac:dyDescent="0.25">
      <c r="A11319" s="12" t="str">
        <f>("800-0131")</f>
        <v>800-0131</v>
      </c>
      <c r="B11319" s="15" t="s">
        <v>15245</v>
      </c>
      <c r="C11319" s="32">
        <v>207.5</v>
      </c>
    </row>
    <row r="11320" spans="1:3" x14ac:dyDescent="0.25">
      <c r="A11320" s="12" t="str">
        <f>("800-0132")</f>
        <v>800-0132</v>
      </c>
      <c r="B11320" s="15" t="s">
        <v>15275</v>
      </c>
      <c r="C11320" s="32">
        <v>630</v>
      </c>
    </row>
    <row r="11321" spans="1:3" x14ac:dyDescent="0.25">
      <c r="A11321" s="12" t="str">
        <f>("800-0133")</f>
        <v>800-0133</v>
      </c>
      <c r="B11321" s="15" t="s">
        <v>15101</v>
      </c>
      <c r="C11321" s="32">
        <v>630</v>
      </c>
    </row>
    <row r="11322" spans="1:3" x14ac:dyDescent="0.25">
      <c r="A11322" s="12" t="str">
        <f>("800-0134")</f>
        <v>800-0134</v>
      </c>
      <c r="B11322" s="15" t="s">
        <v>15276</v>
      </c>
      <c r="C11322" s="32">
        <v>63.75</v>
      </c>
    </row>
    <row r="11323" spans="1:3" x14ac:dyDescent="0.25">
      <c r="A11323" s="12" t="str">
        <f>("800-0135")</f>
        <v>800-0135</v>
      </c>
      <c r="B11323" s="15" t="s">
        <v>15277</v>
      </c>
      <c r="C11323" s="32">
        <v>63.75</v>
      </c>
    </row>
    <row r="11324" spans="1:3" x14ac:dyDescent="0.25">
      <c r="A11324" s="12" t="str">
        <f>("800-0136")</f>
        <v>800-0136</v>
      </c>
      <c r="B11324" s="15" t="s">
        <v>15278</v>
      </c>
      <c r="C11324" s="32">
        <v>63.75</v>
      </c>
    </row>
    <row r="11325" spans="1:3" x14ac:dyDescent="0.25">
      <c r="A11325" s="12" t="str">
        <f>("800-0137")</f>
        <v>800-0137</v>
      </c>
      <c r="B11325" s="15" t="s">
        <v>15279</v>
      </c>
      <c r="C11325" s="32">
        <v>63.75</v>
      </c>
    </row>
    <row r="11326" spans="1:3" x14ac:dyDescent="0.25">
      <c r="A11326" s="12" t="str">
        <f>("800-0138")</f>
        <v>800-0138</v>
      </c>
      <c r="B11326" s="15" t="s">
        <v>15097</v>
      </c>
      <c r="C11326" s="32">
        <v>788.75</v>
      </c>
    </row>
    <row r="11327" spans="1:3" x14ac:dyDescent="0.25">
      <c r="A11327" s="12" t="str">
        <f>("800-0139")</f>
        <v>800-0139</v>
      </c>
      <c r="B11327" s="15" t="s">
        <v>14984</v>
      </c>
      <c r="C11327" s="32">
        <v>517.5</v>
      </c>
    </row>
    <row r="11328" spans="1:3" x14ac:dyDescent="0.25">
      <c r="A11328" s="12" t="str">
        <f>("800-0140")</f>
        <v>800-0140</v>
      </c>
      <c r="B11328" s="15" t="s">
        <v>15280</v>
      </c>
      <c r="C11328" s="32">
        <v>470</v>
      </c>
    </row>
    <row r="11329" spans="1:3" x14ac:dyDescent="0.25">
      <c r="A11329" s="12" t="str">
        <f>("800-0141")</f>
        <v>800-0141</v>
      </c>
      <c r="B11329" s="15" t="s">
        <v>15281</v>
      </c>
      <c r="C11329" s="32">
        <v>30</v>
      </c>
    </row>
    <row r="11330" spans="1:3" x14ac:dyDescent="0.25">
      <c r="A11330" s="12" t="str">
        <f>("800-0142")</f>
        <v>800-0142</v>
      </c>
      <c r="B11330" s="15" t="s">
        <v>15282</v>
      </c>
      <c r="C11330" s="32">
        <v>517.5</v>
      </c>
    </row>
    <row r="11331" spans="1:3" x14ac:dyDescent="0.25">
      <c r="A11331" s="12" t="str">
        <f>("800-0143")</f>
        <v>800-0143</v>
      </c>
      <c r="B11331" s="15" t="s">
        <v>15097</v>
      </c>
      <c r="C11331" s="32">
        <v>2827.5</v>
      </c>
    </row>
    <row r="11332" spans="1:3" x14ac:dyDescent="0.25">
      <c r="A11332" s="12" t="str">
        <f>("800-0144")</f>
        <v>800-0144</v>
      </c>
      <c r="B11332" s="15" t="s">
        <v>15280</v>
      </c>
      <c r="C11332" s="32">
        <v>2827.5</v>
      </c>
    </row>
    <row r="11333" spans="1:3" x14ac:dyDescent="0.25">
      <c r="A11333" s="12" t="str">
        <f>("800-0145")</f>
        <v>800-0145</v>
      </c>
      <c r="B11333" s="15" t="s">
        <v>15101</v>
      </c>
      <c r="C11333" s="32">
        <v>630</v>
      </c>
    </row>
    <row r="11334" spans="1:3" x14ac:dyDescent="0.25">
      <c r="A11334" s="12" t="str">
        <f>("800-0147")</f>
        <v>800-0147</v>
      </c>
      <c r="B11334" s="15" t="s">
        <v>15217</v>
      </c>
      <c r="C11334" s="32">
        <v>58.75</v>
      </c>
    </row>
    <row r="11335" spans="1:3" x14ac:dyDescent="0.25">
      <c r="A11335" s="12" t="str">
        <f>("800-0148")</f>
        <v>800-0148</v>
      </c>
      <c r="B11335" s="15" t="s">
        <v>15283</v>
      </c>
      <c r="C11335" s="32">
        <v>58.75</v>
      </c>
    </row>
    <row r="11336" spans="1:3" x14ac:dyDescent="0.25">
      <c r="A11336" s="12" t="str">
        <f>("800-0149")</f>
        <v>800-0149</v>
      </c>
      <c r="B11336" s="15" t="s">
        <v>15284</v>
      </c>
      <c r="C11336" s="32">
        <v>98.75</v>
      </c>
    </row>
    <row r="11337" spans="1:3" x14ac:dyDescent="0.25">
      <c r="A11337" s="12" t="str">
        <f>("800-0150")</f>
        <v>800-0150</v>
      </c>
      <c r="B11337" s="15" t="s">
        <v>15285</v>
      </c>
      <c r="C11337" s="32">
        <v>93.75</v>
      </c>
    </row>
    <row r="11338" spans="1:3" x14ac:dyDescent="0.25">
      <c r="A11338" s="12" t="str">
        <f>("800-0151")</f>
        <v>800-0151</v>
      </c>
      <c r="B11338" s="15" t="s">
        <v>15286</v>
      </c>
      <c r="C11338" s="32">
        <v>258.75</v>
      </c>
    </row>
    <row r="11339" spans="1:3" x14ac:dyDescent="0.25">
      <c r="A11339" s="12" t="str">
        <f>("800-0156")</f>
        <v>800-0156</v>
      </c>
      <c r="B11339" s="15" t="s">
        <v>15196</v>
      </c>
      <c r="C11339" s="32">
        <v>58.75</v>
      </c>
    </row>
    <row r="11340" spans="1:3" x14ac:dyDescent="0.25">
      <c r="A11340" s="12" t="str">
        <f>("800-0157")</f>
        <v>800-0157</v>
      </c>
      <c r="B11340" s="15" t="s">
        <v>15238</v>
      </c>
      <c r="C11340" s="32">
        <v>58.75</v>
      </c>
    </row>
    <row r="11341" spans="1:3" x14ac:dyDescent="0.25">
      <c r="A11341" s="12" t="str">
        <f>("800-0158")</f>
        <v>800-0158</v>
      </c>
      <c r="B11341" s="15" t="s">
        <v>15287</v>
      </c>
      <c r="C11341" s="32">
        <v>83.75</v>
      </c>
    </row>
    <row r="11342" spans="1:3" x14ac:dyDescent="0.25">
      <c r="A11342" s="12" t="str">
        <f>("800-0160")</f>
        <v>800-0160</v>
      </c>
      <c r="B11342" s="15" t="s">
        <v>15214</v>
      </c>
      <c r="C11342" s="32">
        <v>63.75</v>
      </c>
    </row>
    <row r="11343" spans="1:3" x14ac:dyDescent="0.25">
      <c r="A11343" s="12" t="str">
        <f>("800-0161")</f>
        <v>800-0161</v>
      </c>
      <c r="B11343" s="15" t="s">
        <v>15217</v>
      </c>
      <c r="C11343" s="32">
        <v>63.75</v>
      </c>
    </row>
    <row r="11344" spans="1:3" x14ac:dyDescent="0.25">
      <c r="A11344" s="12" t="str">
        <f>("800-0162")</f>
        <v>800-0162</v>
      </c>
      <c r="B11344" s="15" t="s">
        <v>15233</v>
      </c>
      <c r="C11344" s="32">
        <v>83.75</v>
      </c>
    </row>
    <row r="11345" spans="1:3" x14ac:dyDescent="0.25">
      <c r="A11345" s="12" t="str">
        <f>("800-0163")</f>
        <v>800-0163</v>
      </c>
      <c r="B11345" s="15" t="s">
        <v>15288</v>
      </c>
      <c r="C11345" s="32">
        <v>898.75</v>
      </c>
    </row>
    <row r="11346" spans="1:3" x14ac:dyDescent="0.25">
      <c r="A11346" s="12" t="str">
        <f>("800-0164")</f>
        <v>800-0164</v>
      </c>
      <c r="B11346" s="15" t="s">
        <v>15289</v>
      </c>
      <c r="C11346" s="32">
        <v>262.5</v>
      </c>
    </row>
    <row r="11347" spans="1:3" x14ac:dyDescent="0.25">
      <c r="A11347" s="12" t="str">
        <f>("800-0165")</f>
        <v>800-0165</v>
      </c>
      <c r="B11347" s="15" t="s">
        <v>15290</v>
      </c>
      <c r="C11347" s="32">
        <v>6.25</v>
      </c>
    </row>
    <row r="11348" spans="1:3" x14ac:dyDescent="0.25">
      <c r="A11348" s="12" t="str">
        <f>("800-0232")</f>
        <v>800-0232</v>
      </c>
      <c r="B11348" s="15"/>
      <c r="C11348" s="32">
        <v>735</v>
      </c>
    </row>
    <row r="11349" spans="1:3" x14ac:dyDescent="0.25">
      <c r="A11349" s="12" t="str">
        <f>("800-0233")</f>
        <v>800-0233</v>
      </c>
      <c r="B11349" s="15" t="s">
        <v>15291</v>
      </c>
      <c r="C11349" s="32">
        <v>852.5</v>
      </c>
    </row>
    <row r="11350" spans="1:3" x14ac:dyDescent="0.25">
      <c r="A11350" s="12" t="str">
        <f>("800-0235")</f>
        <v>800-0235</v>
      </c>
      <c r="B11350" s="15" t="s">
        <v>15292</v>
      </c>
      <c r="C11350" s="32">
        <v>630</v>
      </c>
    </row>
    <row r="11351" spans="1:3" x14ac:dyDescent="0.25">
      <c r="A11351" s="12" t="str">
        <f>("10-21005")</f>
        <v>10-21005</v>
      </c>
      <c r="B11351" s="15" t="s">
        <v>15293</v>
      </c>
      <c r="C11351" s="32">
        <v>16.25</v>
      </c>
    </row>
    <row r="11352" spans="1:3" x14ac:dyDescent="0.25">
      <c r="A11352" s="12" t="str">
        <f>("10-21015")</f>
        <v>10-21015</v>
      </c>
      <c r="B11352" s="15" t="s">
        <v>15294</v>
      </c>
      <c r="C11352" s="32">
        <v>16.25</v>
      </c>
    </row>
    <row r="11353" spans="1:3" x14ac:dyDescent="0.25">
      <c r="A11353" s="12" t="str">
        <f>("10-21025")</f>
        <v>10-21025</v>
      </c>
      <c r="B11353" s="15" t="s">
        <v>15295</v>
      </c>
      <c r="C11353" s="32">
        <v>17.5</v>
      </c>
    </row>
    <row r="11354" spans="1:3" x14ac:dyDescent="0.25">
      <c r="A11354" s="12" t="str">
        <f>("10-21035")</f>
        <v>10-21035</v>
      </c>
      <c r="B11354" s="15" t="s">
        <v>15296</v>
      </c>
      <c r="C11354" s="32">
        <v>18.75</v>
      </c>
    </row>
    <row r="11355" spans="1:3" x14ac:dyDescent="0.25">
      <c r="A11355" s="12" t="str">
        <f>("10-21045")</f>
        <v>10-21045</v>
      </c>
      <c r="B11355" s="15" t="s">
        <v>15297</v>
      </c>
      <c r="C11355" s="32">
        <v>31.25</v>
      </c>
    </row>
    <row r="11356" spans="1:3" x14ac:dyDescent="0.25">
      <c r="A11356" s="12" t="str">
        <f>("10-21055")</f>
        <v>10-21055</v>
      </c>
      <c r="B11356" s="15" t="s">
        <v>15298</v>
      </c>
      <c r="C11356" s="32">
        <v>43.75</v>
      </c>
    </row>
    <row r="11357" spans="1:3" x14ac:dyDescent="0.25">
      <c r="A11357" s="12" t="str">
        <f>("10-21065")</f>
        <v>10-21065</v>
      </c>
      <c r="B11357" s="15" t="s">
        <v>15299</v>
      </c>
      <c r="C11357" s="32">
        <v>37.5</v>
      </c>
    </row>
    <row r="11358" spans="1:3" x14ac:dyDescent="0.25">
      <c r="A11358" s="12" t="str">
        <f>("10-21075")</f>
        <v>10-21075</v>
      </c>
      <c r="B11358" s="15" t="s">
        <v>15300</v>
      </c>
      <c r="C11358" s="32">
        <v>47.5</v>
      </c>
    </row>
    <row r="11359" spans="1:3" x14ac:dyDescent="0.25">
      <c r="A11359" s="12" t="str">
        <f>("10-21085")</f>
        <v>10-21085</v>
      </c>
      <c r="B11359" s="15" t="s">
        <v>15301</v>
      </c>
      <c r="C11359" s="32">
        <v>26.25</v>
      </c>
    </row>
    <row r="11360" spans="1:3" x14ac:dyDescent="0.25">
      <c r="A11360" s="12" t="str">
        <f>("10-21095")</f>
        <v>10-21095</v>
      </c>
      <c r="B11360" s="15" t="s">
        <v>15302</v>
      </c>
      <c r="C11360" s="32">
        <v>41.25</v>
      </c>
    </row>
    <row r="11361" spans="1:3" x14ac:dyDescent="0.25">
      <c r="A11361" s="12" t="str">
        <f>("10-21105")</f>
        <v>10-21105</v>
      </c>
      <c r="B11361" s="15" t="s">
        <v>15303</v>
      </c>
      <c r="C11361" s="32">
        <v>57.5</v>
      </c>
    </row>
    <row r="11362" spans="1:3" x14ac:dyDescent="0.25">
      <c r="A11362" s="12" t="str">
        <f>("15-00005")</f>
        <v>15-00005</v>
      </c>
      <c r="B11362" s="15" t="s">
        <v>15304</v>
      </c>
      <c r="C11362" s="32">
        <v>1436.25</v>
      </c>
    </row>
    <row r="11363" spans="1:3" x14ac:dyDescent="0.25">
      <c r="A11363" s="12" t="str">
        <f>("15-00005A")</f>
        <v>15-00005A</v>
      </c>
      <c r="B11363" s="15" t="s">
        <v>15305</v>
      </c>
      <c r="C11363" s="32">
        <v>487.5</v>
      </c>
    </row>
    <row r="11364" spans="1:3" x14ac:dyDescent="0.25">
      <c r="A11364" s="12" t="str">
        <f>("15-00005B")</f>
        <v>15-00005B</v>
      </c>
      <c r="B11364" s="15" t="s">
        <v>15305</v>
      </c>
      <c r="C11364" s="32">
        <v>948.75</v>
      </c>
    </row>
    <row r="11365" spans="1:3" x14ac:dyDescent="0.25">
      <c r="A11365" s="12" t="str">
        <f>("15-00015")</f>
        <v>15-00015</v>
      </c>
      <c r="B11365" s="15" t="s">
        <v>13733</v>
      </c>
      <c r="C11365" s="32">
        <v>1436.25</v>
      </c>
    </row>
    <row r="11366" spans="1:3" x14ac:dyDescent="0.25">
      <c r="A11366" s="12" t="str">
        <f>("15-00015A")</f>
        <v>15-00015A</v>
      </c>
      <c r="B11366" s="15" t="s">
        <v>15306</v>
      </c>
      <c r="C11366" s="32">
        <v>487.5</v>
      </c>
    </row>
    <row r="11367" spans="1:3" x14ac:dyDescent="0.25">
      <c r="A11367" s="12" t="str">
        <f>("15-00015B")</f>
        <v>15-00015B</v>
      </c>
      <c r="B11367" s="15" t="s">
        <v>15306</v>
      </c>
      <c r="C11367" s="32">
        <v>948.75</v>
      </c>
    </row>
    <row r="11368" spans="1:3" x14ac:dyDescent="0.25">
      <c r="A11368" s="12" t="str">
        <f>("15-00025")</f>
        <v>15-00025</v>
      </c>
      <c r="B11368" s="15" t="s">
        <v>15307</v>
      </c>
      <c r="C11368" s="32">
        <v>1867.5</v>
      </c>
    </row>
    <row r="11369" spans="1:3" x14ac:dyDescent="0.25">
      <c r="A11369" s="12" t="str">
        <f>("15-00035")</f>
        <v>15-00035</v>
      </c>
      <c r="B11369" s="15" t="s">
        <v>15308</v>
      </c>
      <c r="C11369" s="32">
        <v>1366.25</v>
      </c>
    </row>
    <row r="11370" spans="1:3" x14ac:dyDescent="0.25">
      <c r="A11370" s="12" t="str">
        <f>("15-00045")</f>
        <v>15-00045</v>
      </c>
      <c r="B11370" s="15" t="s">
        <v>14777</v>
      </c>
      <c r="C11370" s="32">
        <v>1436.25</v>
      </c>
    </row>
    <row r="11371" spans="1:3" x14ac:dyDescent="0.25">
      <c r="A11371" s="12" t="str">
        <f>("15-00055")</f>
        <v>15-00055</v>
      </c>
      <c r="B11371" s="15" t="s">
        <v>13732</v>
      </c>
      <c r="C11371" s="32">
        <v>1150</v>
      </c>
    </row>
    <row r="11372" spans="1:3" x14ac:dyDescent="0.25">
      <c r="A11372" s="12" t="str">
        <f>("15-00075")</f>
        <v>15-00075</v>
      </c>
      <c r="B11372" s="15" t="s">
        <v>15309</v>
      </c>
      <c r="C11372" s="32">
        <v>1150</v>
      </c>
    </row>
    <row r="11373" spans="1:3" x14ac:dyDescent="0.25">
      <c r="A11373" s="12" t="str">
        <f>("15-00085")</f>
        <v>15-00085</v>
      </c>
      <c r="B11373" s="15" t="s">
        <v>15310</v>
      </c>
      <c r="C11373" s="32">
        <v>251.25</v>
      </c>
    </row>
    <row r="11374" spans="1:3" x14ac:dyDescent="0.25">
      <c r="A11374" s="12" t="str">
        <f>("15-00095")</f>
        <v>15-00095</v>
      </c>
      <c r="B11374" s="15" t="s">
        <v>15311</v>
      </c>
      <c r="C11374" s="32">
        <v>28.75</v>
      </c>
    </row>
    <row r="11375" spans="1:3" x14ac:dyDescent="0.25">
      <c r="A11375" s="12" t="str">
        <f>("15-00135")</f>
        <v>15-00135</v>
      </c>
      <c r="B11375" s="15" t="s">
        <v>13714</v>
      </c>
      <c r="C11375" s="32">
        <v>1437.5</v>
      </c>
    </row>
    <row r="11376" spans="1:3" x14ac:dyDescent="0.25">
      <c r="A11376" s="12" t="str">
        <f>("15-00145")</f>
        <v>15-00145</v>
      </c>
      <c r="B11376" s="15" t="s">
        <v>15312</v>
      </c>
      <c r="C11376" s="32">
        <v>935</v>
      </c>
    </row>
    <row r="11377" spans="1:3" x14ac:dyDescent="0.25">
      <c r="A11377" s="12" t="str">
        <f>("15-00155")</f>
        <v>15-00155</v>
      </c>
      <c r="B11377" s="15" t="s">
        <v>15313</v>
      </c>
      <c r="C11377" s="32">
        <v>1006.25</v>
      </c>
    </row>
    <row r="11378" spans="1:3" x14ac:dyDescent="0.25">
      <c r="A11378" s="12" t="str">
        <f>("19-10285")</f>
        <v>19-10285</v>
      </c>
      <c r="B11378" s="15" t="s">
        <v>15314</v>
      </c>
      <c r="C11378" s="32">
        <v>398.75</v>
      </c>
    </row>
    <row r="11379" spans="1:3" x14ac:dyDescent="0.25">
      <c r="A11379" s="12" t="str">
        <f>("19-11005")</f>
        <v>19-11005</v>
      </c>
      <c r="B11379" s="15" t="s">
        <v>15315</v>
      </c>
      <c r="C11379" s="32">
        <v>426.25</v>
      </c>
    </row>
    <row r="11380" spans="1:3" x14ac:dyDescent="0.25">
      <c r="A11380" s="12" t="str">
        <f>("19-11065")</f>
        <v>19-11065</v>
      </c>
      <c r="B11380" s="15" t="s">
        <v>15316</v>
      </c>
      <c r="C11380" s="32">
        <v>398.75</v>
      </c>
    </row>
    <row r="11381" spans="1:3" x14ac:dyDescent="0.25">
      <c r="A11381" s="12" t="str">
        <f>("19-11085")</f>
        <v>19-11085</v>
      </c>
      <c r="B11381" s="15" t="s">
        <v>15317</v>
      </c>
      <c r="C11381" s="32">
        <v>412.5</v>
      </c>
    </row>
    <row r="11382" spans="1:3" x14ac:dyDescent="0.25">
      <c r="A11382" s="12" t="str">
        <f>("19-11086")</f>
        <v>19-11086</v>
      </c>
      <c r="B11382" s="15" t="s">
        <v>15318</v>
      </c>
      <c r="C11382" s="32">
        <v>10</v>
      </c>
    </row>
    <row r="11383" spans="1:3" x14ac:dyDescent="0.25">
      <c r="A11383" s="12" t="str">
        <f>("19-11087")</f>
        <v>19-11087</v>
      </c>
      <c r="B11383" s="15" t="s">
        <v>15319</v>
      </c>
      <c r="C11383" s="32">
        <v>10</v>
      </c>
    </row>
    <row r="11384" spans="1:3" x14ac:dyDescent="0.25">
      <c r="A11384" s="12" t="str">
        <f>("19-11088")</f>
        <v>19-11088</v>
      </c>
      <c r="B11384" s="15" t="s">
        <v>15320</v>
      </c>
      <c r="C11384" s="32">
        <v>10</v>
      </c>
    </row>
    <row r="11385" spans="1:3" x14ac:dyDescent="0.25">
      <c r="A11385" s="12" t="str">
        <f>("19-11089")</f>
        <v>19-11089</v>
      </c>
      <c r="B11385" s="15" t="s">
        <v>15321</v>
      </c>
      <c r="C11385" s="32">
        <v>10</v>
      </c>
    </row>
    <row r="11386" spans="1:3" x14ac:dyDescent="0.25">
      <c r="A11386" s="12" t="str">
        <f>("19-11090")</f>
        <v>19-11090</v>
      </c>
      <c r="B11386" s="15" t="s">
        <v>15322</v>
      </c>
      <c r="C11386" s="32">
        <v>11.25</v>
      </c>
    </row>
    <row r="11387" spans="1:3" x14ac:dyDescent="0.25">
      <c r="A11387" s="12" t="str">
        <f>("19-11091")</f>
        <v>19-11091</v>
      </c>
      <c r="B11387" s="15" t="s">
        <v>15323</v>
      </c>
      <c r="C11387" s="32">
        <v>10</v>
      </c>
    </row>
    <row r="11388" spans="1:3" x14ac:dyDescent="0.25">
      <c r="A11388" s="12" t="str">
        <f>("19-11092")</f>
        <v>19-11092</v>
      </c>
      <c r="B11388" s="15" t="s">
        <v>15324</v>
      </c>
      <c r="C11388" s="32">
        <v>10</v>
      </c>
    </row>
    <row r="11389" spans="1:3" x14ac:dyDescent="0.25">
      <c r="A11389" s="12" t="str">
        <f>("19-11093")</f>
        <v>19-11093</v>
      </c>
      <c r="B11389" s="15" t="s">
        <v>15325</v>
      </c>
      <c r="C11389" s="32">
        <v>11.25</v>
      </c>
    </row>
    <row r="11390" spans="1:3" x14ac:dyDescent="0.25">
      <c r="A11390" s="12" t="str">
        <f>("19-11094")</f>
        <v>19-11094</v>
      </c>
      <c r="B11390" s="15" t="s">
        <v>15326</v>
      </c>
      <c r="C11390" s="32">
        <v>10</v>
      </c>
    </row>
    <row r="11391" spans="1:3" x14ac:dyDescent="0.25">
      <c r="A11391" s="12" t="str">
        <f>("19-11095")</f>
        <v>19-11095</v>
      </c>
      <c r="B11391" s="15" t="s">
        <v>15327</v>
      </c>
      <c r="C11391" s="32">
        <v>11.25</v>
      </c>
    </row>
    <row r="11392" spans="1:3" x14ac:dyDescent="0.25">
      <c r="A11392" s="12" t="str">
        <f>("19-11096")</f>
        <v>19-11096</v>
      </c>
      <c r="B11392" s="15" t="s">
        <v>15328</v>
      </c>
      <c r="C11392" s="32">
        <v>3.75</v>
      </c>
    </row>
    <row r="11393" spans="1:3" x14ac:dyDescent="0.25">
      <c r="A11393" s="12" t="str">
        <f>("19-11097")</f>
        <v>19-11097</v>
      </c>
      <c r="B11393" s="15" t="s">
        <v>15329</v>
      </c>
      <c r="C11393" s="32">
        <v>5</v>
      </c>
    </row>
    <row r="11394" spans="1:3" x14ac:dyDescent="0.25">
      <c r="A11394" s="12" t="str">
        <f>("19-11098")</f>
        <v>19-11098</v>
      </c>
      <c r="B11394" s="15" t="s">
        <v>15330</v>
      </c>
      <c r="C11394" s="32">
        <v>26.25</v>
      </c>
    </row>
    <row r="11395" spans="1:3" x14ac:dyDescent="0.25">
      <c r="A11395" s="12" t="str">
        <f>("19-11099")</f>
        <v>19-11099</v>
      </c>
      <c r="B11395" s="15" t="s">
        <v>15331</v>
      </c>
      <c r="C11395" s="32">
        <v>30</v>
      </c>
    </row>
    <row r="11396" spans="1:3" x14ac:dyDescent="0.25">
      <c r="A11396" s="12" t="str">
        <f>("19-11101")</f>
        <v>19-11101</v>
      </c>
      <c r="B11396" s="15" t="s">
        <v>15332</v>
      </c>
      <c r="C11396" s="32">
        <v>25</v>
      </c>
    </row>
    <row r="11397" spans="1:3" ht="31.5" x14ac:dyDescent="0.25">
      <c r="A11397" s="12" t="str">
        <f>("19-11102")</f>
        <v>19-11102</v>
      </c>
      <c r="B11397" s="15" t="s">
        <v>15333</v>
      </c>
      <c r="C11397" s="32">
        <v>11.25</v>
      </c>
    </row>
    <row r="11398" spans="1:3" ht="31.5" x14ac:dyDescent="0.25">
      <c r="A11398" s="12" t="str">
        <f>("19-11103")</f>
        <v>19-11103</v>
      </c>
      <c r="B11398" s="15" t="s">
        <v>15334</v>
      </c>
      <c r="C11398" s="32">
        <v>7.5</v>
      </c>
    </row>
    <row r="11399" spans="1:3" x14ac:dyDescent="0.25">
      <c r="A11399" s="12" t="str">
        <f>("19-11104")</f>
        <v>19-11104</v>
      </c>
      <c r="B11399" s="15" t="s">
        <v>15335</v>
      </c>
      <c r="C11399" s="32">
        <v>31.25</v>
      </c>
    </row>
    <row r="11400" spans="1:3" x14ac:dyDescent="0.25">
      <c r="A11400" s="12" t="str">
        <f>("19-11105")</f>
        <v>19-11105</v>
      </c>
      <c r="B11400" s="15" t="s">
        <v>15336</v>
      </c>
      <c r="C11400" s="32">
        <v>41.25</v>
      </c>
    </row>
    <row r="11401" spans="1:3" x14ac:dyDescent="0.25">
      <c r="A11401" s="12" t="str">
        <f>("19-11165")</f>
        <v>19-11165</v>
      </c>
      <c r="B11401" s="15" t="s">
        <v>15337</v>
      </c>
      <c r="C11401" s="32">
        <v>398.75</v>
      </c>
    </row>
    <row r="11402" spans="1:3" x14ac:dyDescent="0.25">
      <c r="A11402" s="12" t="str">
        <f>("19-12065")</f>
        <v>19-12065</v>
      </c>
      <c r="B11402" s="15" t="s">
        <v>15338</v>
      </c>
      <c r="C11402" s="32">
        <v>398.75</v>
      </c>
    </row>
    <row r="11403" spans="1:3" x14ac:dyDescent="0.25">
      <c r="A11403" s="12" t="str">
        <f>("19-12075")</f>
        <v>19-12075</v>
      </c>
      <c r="B11403" s="15" t="s">
        <v>15339</v>
      </c>
      <c r="C11403" s="32">
        <v>412.5</v>
      </c>
    </row>
    <row r="11404" spans="1:3" x14ac:dyDescent="0.25">
      <c r="A11404" s="12" t="str">
        <f>("19-12785")</f>
        <v>19-12785</v>
      </c>
      <c r="B11404" s="15" t="s">
        <v>15340</v>
      </c>
      <c r="C11404" s="32">
        <v>398.75</v>
      </c>
    </row>
    <row r="11405" spans="1:3" x14ac:dyDescent="0.25">
      <c r="A11405" s="12" t="str">
        <f>("19-12815")</f>
        <v>19-12815</v>
      </c>
      <c r="B11405" s="15" t="s">
        <v>15341</v>
      </c>
      <c r="C11405" s="32">
        <v>412.5</v>
      </c>
    </row>
    <row r="11406" spans="1:3" x14ac:dyDescent="0.25">
      <c r="A11406" s="12" t="str">
        <f>("19-13365")</f>
        <v>19-13365</v>
      </c>
      <c r="B11406" s="15" t="s">
        <v>15342</v>
      </c>
      <c r="C11406" s="32">
        <v>412.5</v>
      </c>
    </row>
    <row r="11407" spans="1:3" x14ac:dyDescent="0.25">
      <c r="A11407" s="12" t="str">
        <f>("19-13995")</f>
        <v>19-13995</v>
      </c>
      <c r="B11407" s="15" t="s">
        <v>15343</v>
      </c>
      <c r="C11407" s="32">
        <v>426.25</v>
      </c>
    </row>
    <row r="11408" spans="1:3" x14ac:dyDescent="0.25">
      <c r="A11408" s="12" t="str">
        <f>("19-14025")</f>
        <v>19-14025</v>
      </c>
      <c r="B11408" s="15" t="s">
        <v>15344</v>
      </c>
      <c r="C11408" s="32">
        <v>398.75</v>
      </c>
    </row>
    <row r="11409" spans="1:3" x14ac:dyDescent="0.25">
      <c r="A11409" s="12" t="str">
        <f>("19-14075")</f>
        <v>19-14075</v>
      </c>
      <c r="B11409" s="15" t="s">
        <v>15345</v>
      </c>
      <c r="C11409" s="32">
        <v>398.75</v>
      </c>
    </row>
    <row r="11410" spans="1:3" x14ac:dyDescent="0.25">
      <c r="A11410" s="12" t="str">
        <f>("19-14085")</f>
        <v>19-14085</v>
      </c>
      <c r="B11410" s="15" t="s">
        <v>15346</v>
      </c>
      <c r="C11410" s="32">
        <v>412.5</v>
      </c>
    </row>
    <row r="11411" spans="1:3" x14ac:dyDescent="0.25">
      <c r="A11411" s="12" t="str">
        <f>("19-14095")</f>
        <v>19-14095</v>
      </c>
      <c r="B11411" s="15" t="s">
        <v>15347</v>
      </c>
      <c r="C11411" s="32">
        <v>426.25</v>
      </c>
    </row>
    <row r="11412" spans="1:3" x14ac:dyDescent="0.25">
      <c r="A11412" s="12" t="str">
        <f>("19-14165")</f>
        <v>19-14165</v>
      </c>
      <c r="B11412" s="15" t="s">
        <v>15348</v>
      </c>
      <c r="C11412" s="32">
        <v>398.75</v>
      </c>
    </row>
    <row r="11413" spans="1:3" x14ac:dyDescent="0.25">
      <c r="A11413" s="12" t="str">
        <f>("19-14185")</f>
        <v>19-14185</v>
      </c>
      <c r="B11413" s="15" t="s">
        <v>15349</v>
      </c>
      <c r="C11413" s="32">
        <v>412.5</v>
      </c>
    </row>
    <row r="11414" spans="1:3" x14ac:dyDescent="0.25">
      <c r="A11414" s="12" t="str">
        <f>("19-14255")</f>
        <v>19-14255</v>
      </c>
      <c r="B11414" s="15" t="s">
        <v>15350</v>
      </c>
      <c r="C11414" s="32">
        <v>426.25</v>
      </c>
    </row>
    <row r="11415" spans="1:3" x14ac:dyDescent="0.25">
      <c r="A11415" s="12" t="str">
        <f>("19-14315")</f>
        <v>19-14315</v>
      </c>
      <c r="B11415" s="15" t="s">
        <v>15351</v>
      </c>
      <c r="C11415" s="32">
        <v>398.75</v>
      </c>
    </row>
    <row r="11416" spans="1:3" x14ac:dyDescent="0.25">
      <c r="A11416" s="12" t="str">
        <f>("19-14325")</f>
        <v>19-14325</v>
      </c>
      <c r="B11416" s="15" t="s">
        <v>15352</v>
      </c>
      <c r="C11416" s="32">
        <v>426.25</v>
      </c>
    </row>
    <row r="11417" spans="1:3" x14ac:dyDescent="0.25">
      <c r="A11417" s="12" t="str">
        <f>("19-14545")</f>
        <v>19-14545</v>
      </c>
      <c r="B11417" s="15" t="s">
        <v>15353</v>
      </c>
      <c r="C11417" s="32">
        <v>426.25</v>
      </c>
    </row>
    <row r="11418" spans="1:3" x14ac:dyDescent="0.25">
      <c r="A11418" s="12" t="str">
        <f>("19-14565")</f>
        <v>19-14565</v>
      </c>
      <c r="B11418" s="15" t="s">
        <v>15354</v>
      </c>
      <c r="C11418" s="32">
        <v>412.5</v>
      </c>
    </row>
    <row r="11419" spans="1:3" x14ac:dyDescent="0.25">
      <c r="A11419" s="12" t="str">
        <f>("19-14625")</f>
        <v>19-14625</v>
      </c>
      <c r="B11419" s="15" t="s">
        <v>15355</v>
      </c>
      <c r="C11419" s="32">
        <v>398.75</v>
      </c>
    </row>
    <row r="11420" spans="1:3" x14ac:dyDescent="0.25">
      <c r="A11420" s="12" t="str">
        <f>("19-14705")</f>
        <v>19-14705</v>
      </c>
      <c r="B11420" s="15" t="s">
        <v>15356</v>
      </c>
      <c r="C11420" s="32">
        <v>412.5</v>
      </c>
    </row>
    <row r="11421" spans="1:3" x14ac:dyDescent="0.25">
      <c r="A11421" s="12" t="str">
        <f>("19-14735")</f>
        <v>19-14735</v>
      </c>
      <c r="B11421" s="15" t="s">
        <v>15357</v>
      </c>
      <c r="C11421" s="32">
        <v>412.5</v>
      </c>
    </row>
    <row r="11422" spans="1:3" x14ac:dyDescent="0.25">
      <c r="A11422" s="12" t="str">
        <f>("19-14745")</f>
        <v>19-14745</v>
      </c>
      <c r="B11422" s="15" t="s">
        <v>15358</v>
      </c>
      <c r="C11422" s="32">
        <v>426.25</v>
      </c>
    </row>
    <row r="11423" spans="1:3" x14ac:dyDescent="0.25">
      <c r="A11423" s="12" t="str">
        <f>("19-14785")</f>
        <v>19-14785</v>
      </c>
      <c r="B11423" s="15" t="s">
        <v>15359</v>
      </c>
      <c r="C11423" s="32">
        <v>426.25</v>
      </c>
    </row>
    <row r="11424" spans="1:3" x14ac:dyDescent="0.25">
      <c r="A11424" s="12" t="str">
        <f>("19-14795")</f>
        <v>19-14795</v>
      </c>
      <c r="B11424" s="15" t="s">
        <v>15360</v>
      </c>
      <c r="C11424" s="32">
        <v>398.75</v>
      </c>
    </row>
    <row r="11425" spans="1:3" x14ac:dyDescent="0.25">
      <c r="A11425" s="12" t="str">
        <f>("19-16225")</f>
        <v>19-16225</v>
      </c>
      <c r="B11425" s="15" t="s">
        <v>15361</v>
      </c>
      <c r="C11425" s="32">
        <v>426.25</v>
      </c>
    </row>
    <row r="11426" spans="1:3" x14ac:dyDescent="0.25">
      <c r="A11426" s="12" t="str">
        <f>("19-16235")</f>
        <v>19-16235</v>
      </c>
      <c r="B11426" s="15" t="s">
        <v>15362</v>
      </c>
      <c r="C11426" s="32">
        <v>398.75</v>
      </c>
    </row>
    <row r="11427" spans="1:3" x14ac:dyDescent="0.25">
      <c r="A11427" s="12" t="str">
        <f>("19-16355")</f>
        <v>19-16355</v>
      </c>
      <c r="B11427" s="15" t="s">
        <v>15363</v>
      </c>
      <c r="C11427" s="32">
        <v>398.75</v>
      </c>
    </row>
    <row r="11428" spans="1:3" x14ac:dyDescent="0.25">
      <c r="A11428" s="12" t="str">
        <f>("19-16365")</f>
        <v>19-16365</v>
      </c>
      <c r="B11428" s="15" t="s">
        <v>15364</v>
      </c>
      <c r="C11428" s="32">
        <v>426.25</v>
      </c>
    </row>
    <row r="11429" spans="1:3" x14ac:dyDescent="0.25">
      <c r="A11429" s="12" t="str">
        <f>("19-16385")</f>
        <v>19-16385</v>
      </c>
      <c r="B11429" s="15" t="s">
        <v>15365</v>
      </c>
      <c r="C11429" s="32">
        <v>398.75</v>
      </c>
    </row>
    <row r="11430" spans="1:3" x14ac:dyDescent="0.25">
      <c r="A11430" s="12" t="str">
        <f>("19-16405")</f>
        <v>19-16405</v>
      </c>
      <c r="B11430" s="15" t="s">
        <v>15366</v>
      </c>
      <c r="C11430" s="32">
        <v>398.75</v>
      </c>
    </row>
    <row r="11431" spans="1:3" x14ac:dyDescent="0.25">
      <c r="A11431" s="12" t="str">
        <f>("19-17115")</f>
        <v>19-17115</v>
      </c>
      <c r="B11431" s="15" t="s">
        <v>15367</v>
      </c>
      <c r="C11431" s="32">
        <v>398.75</v>
      </c>
    </row>
    <row r="11432" spans="1:3" x14ac:dyDescent="0.25">
      <c r="A11432" s="12" t="str">
        <f>("19-20285")</f>
        <v>19-20285</v>
      </c>
      <c r="B11432" s="15" t="s">
        <v>15314</v>
      </c>
      <c r="C11432" s="32">
        <v>412.5</v>
      </c>
    </row>
    <row r="11433" spans="1:3" x14ac:dyDescent="0.25">
      <c r="A11433" s="12" t="str">
        <f>("19-21005")</f>
        <v>19-21005</v>
      </c>
      <c r="B11433" s="15" t="s">
        <v>15368</v>
      </c>
      <c r="C11433" s="32">
        <v>440</v>
      </c>
    </row>
    <row r="11434" spans="1:3" x14ac:dyDescent="0.25">
      <c r="A11434" s="12" t="str">
        <f>("19-21065")</f>
        <v>19-21065</v>
      </c>
      <c r="B11434" s="15" t="s">
        <v>15316</v>
      </c>
      <c r="C11434" s="32">
        <v>412.5</v>
      </c>
    </row>
    <row r="11435" spans="1:3" x14ac:dyDescent="0.25">
      <c r="A11435" s="12" t="str">
        <f>("19-21165")</f>
        <v>19-21165</v>
      </c>
      <c r="B11435" s="15" t="s">
        <v>15337</v>
      </c>
      <c r="C11435" s="32">
        <v>412.5</v>
      </c>
    </row>
    <row r="11436" spans="1:3" x14ac:dyDescent="0.25">
      <c r="A11436" s="12" t="str">
        <f>("19-21286")</f>
        <v>19-21286</v>
      </c>
      <c r="B11436" s="15" t="s">
        <v>15369</v>
      </c>
      <c r="C11436" s="32">
        <v>37.5</v>
      </c>
    </row>
    <row r="11437" spans="1:3" x14ac:dyDescent="0.25">
      <c r="A11437" s="12" t="str">
        <f>("19-21287")</f>
        <v>19-21287</v>
      </c>
      <c r="B11437" s="15" t="s">
        <v>15370</v>
      </c>
      <c r="C11437" s="32">
        <v>11.25</v>
      </c>
    </row>
    <row r="11438" spans="1:3" x14ac:dyDescent="0.25">
      <c r="A11438" s="12" t="str">
        <f>("19-21288")</f>
        <v>19-21288</v>
      </c>
      <c r="B11438" s="15" t="s">
        <v>15371</v>
      </c>
      <c r="C11438" s="32">
        <v>8.75</v>
      </c>
    </row>
    <row r="11439" spans="1:3" ht="31.5" x14ac:dyDescent="0.25">
      <c r="A11439" s="12" t="str">
        <f>("19-21289")</f>
        <v>19-21289</v>
      </c>
      <c r="B11439" s="15" t="s">
        <v>15372</v>
      </c>
      <c r="C11439" s="32">
        <v>2.5</v>
      </c>
    </row>
    <row r="11440" spans="1:3" x14ac:dyDescent="0.25">
      <c r="A11440" s="12" t="str">
        <f>("19-21290")</f>
        <v>19-21290</v>
      </c>
      <c r="B11440" s="15" t="s">
        <v>15373</v>
      </c>
      <c r="C11440" s="32">
        <v>2.5</v>
      </c>
    </row>
    <row r="11441" spans="1:3" x14ac:dyDescent="0.25">
      <c r="A11441" s="12" t="str">
        <f>("19-21291")</f>
        <v>19-21291</v>
      </c>
      <c r="B11441" s="15" t="s">
        <v>15374</v>
      </c>
      <c r="C11441" s="32">
        <v>1.25</v>
      </c>
    </row>
    <row r="11442" spans="1:3" x14ac:dyDescent="0.25">
      <c r="A11442" s="12" t="str">
        <f>("19-21292")</f>
        <v>19-21292</v>
      </c>
      <c r="B11442" s="15" t="s">
        <v>15375</v>
      </c>
      <c r="C11442" s="32">
        <v>1.25</v>
      </c>
    </row>
    <row r="11443" spans="1:3" x14ac:dyDescent="0.25">
      <c r="A11443" s="12" t="str">
        <f>("19-21293")</f>
        <v>19-21293</v>
      </c>
      <c r="B11443" s="15" t="s">
        <v>15376</v>
      </c>
      <c r="C11443" s="32">
        <v>12.5</v>
      </c>
    </row>
    <row r="11444" spans="1:3" x14ac:dyDescent="0.25">
      <c r="A11444" s="12" t="str">
        <f>("19-21294")</f>
        <v>19-21294</v>
      </c>
      <c r="B11444" s="15" t="s">
        <v>15377</v>
      </c>
      <c r="C11444" s="32">
        <v>15</v>
      </c>
    </row>
    <row r="11445" spans="1:3" x14ac:dyDescent="0.25">
      <c r="A11445" s="12" t="str">
        <f>("19-21295")</f>
        <v>19-21295</v>
      </c>
      <c r="B11445" s="15" t="s">
        <v>15378</v>
      </c>
      <c r="C11445" s="32">
        <v>412.5</v>
      </c>
    </row>
    <row r="11446" spans="1:3" x14ac:dyDescent="0.25">
      <c r="A11446" s="12" t="str">
        <f>("19-21296")</f>
        <v>19-21296</v>
      </c>
      <c r="B11446" s="15" t="s">
        <v>15379</v>
      </c>
      <c r="C11446" s="32">
        <v>5</v>
      </c>
    </row>
    <row r="11447" spans="1:3" x14ac:dyDescent="0.25">
      <c r="A11447" s="12" t="str">
        <f>("19-21297")</f>
        <v>19-21297</v>
      </c>
      <c r="B11447" s="15" t="s">
        <v>15380</v>
      </c>
      <c r="C11447" s="32">
        <v>3.75</v>
      </c>
    </row>
    <row r="11448" spans="1:3" x14ac:dyDescent="0.25">
      <c r="A11448" s="12" t="str">
        <f>("19-21298")</f>
        <v>19-21298</v>
      </c>
      <c r="B11448" s="15" t="s">
        <v>15381</v>
      </c>
      <c r="C11448" s="32">
        <v>3.75</v>
      </c>
    </row>
    <row r="11449" spans="1:3" x14ac:dyDescent="0.25">
      <c r="A11449" s="12" t="str">
        <f>("19-22055")</f>
        <v>19-22055</v>
      </c>
      <c r="B11449" s="15" t="s">
        <v>15382</v>
      </c>
      <c r="C11449" s="32">
        <v>412.5</v>
      </c>
    </row>
    <row r="11450" spans="1:3" x14ac:dyDescent="0.25">
      <c r="A11450" s="12" t="str">
        <f>("19-22065")</f>
        <v>19-22065</v>
      </c>
      <c r="B11450" s="15" t="s">
        <v>15338</v>
      </c>
      <c r="C11450" s="32">
        <v>412.5</v>
      </c>
    </row>
    <row r="11451" spans="1:3" x14ac:dyDescent="0.25">
      <c r="A11451" s="12" t="str">
        <f>("19-22075")</f>
        <v>19-22075</v>
      </c>
      <c r="B11451" s="15" t="s">
        <v>15339</v>
      </c>
      <c r="C11451" s="32">
        <v>440</v>
      </c>
    </row>
    <row r="11452" spans="1:3" x14ac:dyDescent="0.25">
      <c r="A11452" s="12" t="str">
        <f>("19-22375")</f>
        <v>19-22375</v>
      </c>
      <c r="B11452" s="15" t="s">
        <v>15383</v>
      </c>
      <c r="C11452" s="32">
        <v>440</v>
      </c>
    </row>
    <row r="11453" spans="1:3" x14ac:dyDescent="0.25">
      <c r="A11453" s="12" t="str">
        <f>("19-22785")</f>
        <v>19-22785</v>
      </c>
      <c r="B11453" s="15" t="s">
        <v>15384</v>
      </c>
      <c r="C11453" s="32">
        <v>412.5</v>
      </c>
    </row>
    <row r="11454" spans="1:3" x14ac:dyDescent="0.25">
      <c r="A11454" s="12" t="str">
        <f>("19-22815")</f>
        <v>19-22815</v>
      </c>
      <c r="B11454" s="15" t="s">
        <v>15341</v>
      </c>
      <c r="C11454" s="32">
        <v>426.25</v>
      </c>
    </row>
    <row r="11455" spans="1:3" x14ac:dyDescent="0.25">
      <c r="A11455" s="12" t="str">
        <f>("19-23345")</f>
        <v>19-23345</v>
      </c>
      <c r="B11455" s="15" t="s">
        <v>15385</v>
      </c>
      <c r="C11455" s="32">
        <v>426.25</v>
      </c>
    </row>
    <row r="11456" spans="1:3" x14ac:dyDescent="0.25">
      <c r="A11456" s="12" t="str">
        <f>("19-23365")</f>
        <v>19-23365</v>
      </c>
      <c r="B11456" s="15" t="s">
        <v>15386</v>
      </c>
      <c r="C11456" s="32">
        <v>426.25</v>
      </c>
    </row>
    <row r="11457" spans="1:3" x14ac:dyDescent="0.25">
      <c r="A11457" s="12" t="str">
        <f>("19-23995")</f>
        <v>19-23995</v>
      </c>
      <c r="B11457" s="15" t="s">
        <v>15387</v>
      </c>
      <c r="C11457" s="32">
        <v>440</v>
      </c>
    </row>
    <row r="11458" spans="1:3" x14ac:dyDescent="0.25">
      <c r="A11458" s="12" t="str">
        <f>("19-24025")</f>
        <v>19-24025</v>
      </c>
      <c r="B11458" s="15" t="s">
        <v>15344</v>
      </c>
      <c r="C11458" s="32">
        <v>412.5</v>
      </c>
    </row>
    <row r="11459" spans="1:3" x14ac:dyDescent="0.25">
      <c r="A11459" s="12" t="str">
        <f>("19-24075")</f>
        <v>19-24075</v>
      </c>
      <c r="B11459" s="15" t="s">
        <v>15388</v>
      </c>
      <c r="C11459" s="32">
        <v>412.5</v>
      </c>
    </row>
    <row r="11460" spans="1:3" x14ac:dyDescent="0.25">
      <c r="A11460" s="12" t="str">
        <f>("19-24085")</f>
        <v>19-24085</v>
      </c>
      <c r="B11460" s="15" t="s">
        <v>15389</v>
      </c>
      <c r="C11460" s="32">
        <v>426.25</v>
      </c>
    </row>
    <row r="11461" spans="1:3" x14ac:dyDescent="0.25">
      <c r="A11461" s="12" t="str">
        <f>("19-24095")</f>
        <v>19-24095</v>
      </c>
      <c r="B11461" s="15" t="s">
        <v>15390</v>
      </c>
      <c r="C11461" s="32">
        <v>440</v>
      </c>
    </row>
    <row r="11462" spans="1:3" x14ac:dyDescent="0.25">
      <c r="A11462" s="12" t="str">
        <f>("19-24155")</f>
        <v>19-24155</v>
      </c>
      <c r="B11462" s="15" t="s">
        <v>15391</v>
      </c>
      <c r="C11462" s="32">
        <v>440</v>
      </c>
    </row>
    <row r="11463" spans="1:3" x14ac:dyDescent="0.25">
      <c r="A11463" s="12" t="str">
        <f>("19-24165")</f>
        <v>19-24165</v>
      </c>
      <c r="B11463" s="15" t="s">
        <v>15392</v>
      </c>
      <c r="C11463" s="32">
        <v>412.5</v>
      </c>
    </row>
    <row r="11464" spans="1:3" x14ac:dyDescent="0.25">
      <c r="A11464" s="12" t="str">
        <f>("19-24185")</f>
        <v>19-24185</v>
      </c>
      <c r="B11464" s="15" t="s">
        <v>15349</v>
      </c>
      <c r="C11464" s="32">
        <v>426.25</v>
      </c>
    </row>
    <row r="11465" spans="1:3" x14ac:dyDescent="0.25">
      <c r="A11465" s="12" t="str">
        <f>("19-24315")</f>
        <v>19-24315</v>
      </c>
      <c r="B11465" s="15" t="s">
        <v>15393</v>
      </c>
      <c r="C11465" s="32">
        <v>426.25</v>
      </c>
    </row>
    <row r="11466" spans="1:3" x14ac:dyDescent="0.25">
      <c r="A11466" s="12" t="str">
        <f>("19-24325")</f>
        <v>19-24325</v>
      </c>
      <c r="B11466" s="15" t="s">
        <v>15394</v>
      </c>
      <c r="C11466" s="32">
        <v>440</v>
      </c>
    </row>
    <row r="11467" spans="1:3" x14ac:dyDescent="0.25">
      <c r="A11467" s="12" t="str">
        <f>("19-24545")</f>
        <v>19-24545</v>
      </c>
      <c r="B11467" s="15" t="s">
        <v>15353</v>
      </c>
      <c r="C11467" s="32">
        <v>440</v>
      </c>
    </row>
    <row r="11468" spans="1:3" x14ac:dyDescent="0.25">
      <c r="A11468" s="12" t="str">
        <f>("19-24565")</f>
        <v>19-24565</v>
      </c>
      <c r="B11468" s="15" t="s">
        <v>15354</v>
      </c>
      <c r="C11468" s="32">
        <v>440</v>
      </c>
    </row>
    <row r="11469" spans="1:3" x14ac:dyDescent="0.25">
      <c r="A11469" s="12" t="str">
        <f>("19-24625")</f>
        <v>19-24625</v>
      </c>
      <c r="B11469" s="15" t="s">
        <v>15395</v>
      </c>
      <c r="C11469" s="32">
        <v>412.5</v>
      </c>
    </row>
    <row r="11470" spans="1:3" x14ac:dyDescent="0.25">
      <c r="A11470" s="12" t="str">
        <f>("19-24705")</f>
        <v>19-24705</v>
      </c>
      <c r="B11470" s="15" t="s">
        <v>15396</v>
      </c>
      <c r="C11470" s="32">
        <v>426.25</v>
      </c>
    </row>
    <row r="11471" spans="1:3" x14ac:dyDescent="0.25">
      <c r="A11471" s="12" t="str">
        <f>("19-24735")</f>
        <v>19-24735</v>
      </c>
      <c r="B11471" s="15" t="s">
        <v>15357</v>
      </c>
      <c r="C11471" s="32">
        <v>426.25</v>
      </c>
    </row>
    <row r="11472" spans="1:3" x14ac:dyDescent="0.25">
      <c r="A11472" s="12" t="str">
        <f>("19-24745")</f>
        <v>19-24745</v>
      </c>
      <c r="B11472" s="15" t="s">
        <v>15397</v>
      </c>
      <c r="C11472" s="32">
        <v>440</v>
      </c>
    </row>
    <row r="11473" spans="1:3" x14ac:dyDescent="0.25">
      <c r="A11473" s="12" t="str">
        <f>("19-24785")</f>
        <v>19-24785</v>
      </c>
      <c r="B11473" s="15" t="s">
        <v>15398</v>
      </c>
      <c r="C11473" s="32">
        <v>440</v>
      </c>
    </row>
    <row r="11474" spans="1:3" x14ac:dyDescent="0.25">
      <c r="A11474" s="12" t="str">
        <f>("19-24795")</f>
        <v>19-24795</v>
      </c>
      <c r="B11474" s="15" t="s">
        <v>15360</v>
      </c>
      <c r="C11474" s="32">
        <v>412.5</v>
      </c>
    </row>
    <row r="11475" spans="1:3" x14ac:dyDescent="0.25">
      <c r="A11475" s="12" t="str">
        <f>("19-24825")</f>
        <v>19-24825</v>
      </c>
      <c r="B11475" s="15" t="s">
        <v>15399</v>
      </c>
      <c r="C11475" s="32">
        <v>453.75</v>
      </c>
    </row>
    <row r="11476" spans="1:3" x14ac:dyDescent="0.25">
      <c r="A11476" s="12" t="str">
        <f>("19-26225")</f>
        <v>19-26225</v>
      </c>
      <c r="B11476" s="15" t="s">
        <v>15361</v>
      </c>
      <c r="C11476" s="32">
        <v>440</v>
      </c>
    </row>
    <row r="11477" spans="1:3" x14ac:dyDescent="0.25">
      <c r="A11477" s="12" t="str">
        <f>("19-26235")</f>
        <v>19-26235</v>
      </c>
      <c r="B11477" s="15" t="s">
        <v>15362</v>
      </c>
      <c r="C11477" s="32">
        <v>412.5</v>
      </c>
    </row>
    <row r="11478" spans="1:3" x14ac:dyDescent="0.25">
      <c r="A11478" s="12" t="str">
        <f>("19-26315")</f>
        <v>19-26315</v>
      </c>
      <c r="B11478" s="15" t="s">
        <v>15400</v>
      </c>
      <c r="C11478" s="32">
        <v>412.5</v>
      </c>
    </row>
    <row r="11479" spans="1:3" x14ac:dyDescent="0.25">
      <c r="A11479" s="12" t="str">
        <f>("19-26355")</f>
        <v>19-26355</v>
      </c>
      <c r="B11479" s="15" t="s">
        <v>15401</v>
      </c>
      <c r="C11479" s="32">
        <v>426.25</v>
      </c>
    </row>
    <row r="11480" spans="1:3" x14ac:dyDescent="0.25">
      <c r="A11480" s="12" t="str">
        <f>("19-26365")</f>
        <v>19-26365</v>
      </c>
      <c r="B11480" s="15" t="s">
        <v>15364</v>
      </c>
      <c r="C11480" s="32">
        <v>440</v>
      </c>
    </row>
    <row r="11481" spans="1:3" x14ac:dyDescent="0.25">
      <c r="A11481" s="12" t="str">
        <f>("19-26385")</f>
        <v>19-26385</v>
      </c>
      <c r="B11481" s="15" t="s">
        <v>15402</v>
      </c>
      <c r="C11481" s="32">
        <v>412.5</v>
      </c>
    </row>
    <row r="11482" spans="1:3" x14ac:dyDescent="0.25">
      <c r="A11482" s="12" t="str">
        <f>("19-27115")</f>
        <v>19-27115</v>
      </c>
      <c r="B11482" s="15" t="s">
        <v>15367</v>
      </c>
      <c r="C11482" s="32">
        <v>412.5</v>
      </c>
    </row>
    <row r="11483" spans="1:3" x14ac:dyDescent="0.25">
      <c r="A11483" s="12" t="str">
        <f>("19-40285")</f>
        <v>19-40285</v>
      </c>
      <c r="B11483" s="15" t="s">
        <v>15403</v>
      </c>
      <c r="C11483" s="32">
        <v>1168.75</v>
      </c>
    </row>
    <row r="11484" spans="1:3" x14ac:dyDescent="0.25">
      <c r="A11484" s="12" t="str">
        <f>("19-41005")</f>
        <v>19-41005</v>
      </c>
      <c r="B11484" s="15" t="s">
        <v>15404</v>
      </c>
      <c r="C11484" s="32">
        <v>1306.25</v>
      </c>
    </row>
    <row r="11485" spans="1:3" x14ac:dyDescent="0.25">
      <c r="A11485" s="12" t="str">
        <f>("19-41065")</f>
        <v>19-41065</v>
      </c>
      <c r="B11485" s="15" t="s">
        <v>15405</v>
      </c>
      <c r="C11485" s="32">
        <v>1168.75</v>
      </c>
    </row>
    <row r="11486" spans="1:3" x14ac:dyDescent="0.25">
      <c r="A11486" s="12" t="str">
        <f>("19-41386")</f>
        <v>19-41386</v>
      </c>
      <c r="B11486" s="15" t="s">
        <v>15406</v>
      </c>
      <c r="C11486" s="32">
        <v>17.5</v>
      </c>
    </row>
    <row r="11487" spans="1:3" x14ac:dyDescent="0.25">
      <c r="A11487" s="12" t="str">
        <f>("19-41387")</f>
        <v>19-41387</v>
      </c>
      <c r="B11487" s="15" t="s">
        <v>15407</v>
      </c>
      <c r="C11487" s="32">
        <v>82.5</v>
      </c>
    </row>
    <row r="11488" spans="1:3" x14ac:dyDescent="0.25">
      <c r="A11488" s="12" t="str">
        <f>("19-41388")</f>
        <v>19-41388</v>
      </c>
      <c r="B11488" s="15" t="s">
        <v>15408</v>
      </c>
      <c r="C11488" s="32">
        <v>82.5</v>
      </c>
    </row>
    <row r="11489" spans="1:3" x14ac:dyDescent="0.25">
      <c r="A11489" s="12" t="str">
        <f>("19-41389")</f>
        <v>19-41389</v>
      </c>
      <c r="B11489" s="15" t="s">
        <v>15409</v>
      </c>
      <c r="C11489" s="32">
        <v>82.5</v>
      </c>
    </row>
    <row r="11490" spans="1:3" x14ac:dyDescent="0.25">
      <c r="A11490" s="12" t="str">
        <f>("19-41390")</f>
        <v>19-41390</v>
      </c>
      <c r="B11490" s="15" t="s">
        <v>15410</v>
      </c>
      <c r="C11490" s="32">
        <v>82.5</v>
      </c>
    </row>
    <row r="11491" spans="1:3" x14ac:dyDescent="0.25">
      <c r="A11491" s="12" t="str">
        <f>("19-41391")</f>
        <v>19-41391</v>
      </c>
      <c r="B11491" s="15" t="s">
        <v>15411</v>
      </c>
      <c r="C11491" s="32">
        <v>82.5</v>
      </c>
    </row>
    <row r="11492" spans="1:3" x14ac:dyDescent="0.25">
      <c r="A11492" s="12" t="str">
        <f>("19-41392")</f>
        <v>19-41392</v>
      </c>
      <c r="B11492" s="15" t="s">
        <v>15411</v>
      </c>
      <c r="C11492" s="32">
        <v>82.5</v>
      </c>
    </row>
    <row r="11493" spans="1:3" x14ac:dyDescent="0.25">
      <c r="A11493" s="12" t="str">
        <f>("19-41393")</f>
        <v>19-41393</v>
      </c>
      <c r="B11493" s="15" t="s">
        <v>15412</v>
      </c>
      <c r="C11493" s="32">
        <v>82.5</v>
      </c>
    </row>
    <row r="11494" spans="1:3" x14ac:dyDescent="0.25">
      <c r="A11494" s="12" t="str">
        <f>("19-41394")</f>
        <v>19-41394</v>
      </c>
      <c r="B11494" s="15" t="s">
        <v>15413</v>
      </c>
      <c r="C11494" s="32">
        <v>82.5</v>
      </c>
    </row>
    <row r="11495" spans="1:3" x14ac:dyDescent="0.25">
      <c r="A11495" s="12" t="str">
        <f>("19-41395")</f>
        <v>19-41395</v>
      </c>
      <c r="B11495" s="15" t="s">
        <v>15414</v>
      </c>
      <c r="C11495" s="32">
        <v>82.5</v>
      </c>
    </row>
    <row r="11496" spans="1:3" x14ac:dyDescent="0.25">
      <c r="A11496" s="12" t="str">
        <f>("19-41396")</f>
        <v>19-41396</v>
      </c>
      <c r="B11496" s="15" t="s">
        <v>15415</v>
      </c>
      <c r="C11496" s="32">
        <v>82.5</v>
      </c>
    </row>
    <row r="11497" spans="1:3" x14ac:dyDescent="0.25">
      <c r="A11497" s="12" t="str">
        <f>("19-41397")</f>
        <v>19-41397</v>
      </c>
      <c r="B11497" s="15" t="s">
        <v>15411</v>
      </c>
      <c r="C11497" s="32">
        <v>82.5</v>
      </c>
    </row>
    <row r="11498" spans="1:3" x14ac:dyDescent="0.25">
      <c r="A11498" s="12" t="str">
        <f>("19-41398")</f>
        <v>19-41398</v>
      </c>
      <c r="B11498" s="15" t="s">
        <v>15416</v>
      </c>
      <c r="C11498" s="32">
        <v>82.5</v>
      </c>
    </row>
    <row r="11499" spans="1:3" x14ac:dyDescent="0.25">
      <c r="A11499" s="12" t="str">
        <f>("19-41399")</f>
        <v>19-41399</v>
      </c>
      <c r="B11499" s="15" t="s">
        <v>15417</v>
      </c>
      <c r="C11499" s="32">
        <v>82.5</v>
      </c>
    </row>
    <row r="11500" spans="1:3" x14ac:dyDescent="0.25">
      <c r="A11500" s="12" t="str">
        <f>("19-41400")</f>
        <v>19-41400</v>
      </c>
      <c r="B11500" s="15" t="s">
        <v>15418</v>
      </c>
      <c r="C11500" s="32">
        <v>82.5</v>
      </c>
    </row>
    <row r="11501" spans="1:3" x14ac:dyDescent="0.25">
      <c r="A11501" s="12" t="str">
        <f>("19-41401")</f>
        <v>19-41401</v>
      </c>
      <c r="B11501" s="15" t="s">
        <v>15411</v>
      </c>
      <c r="C11501" s="32">
        <v>82.5</v>
      </c>
    </row>
    <row r="11502" spans="1:3" x14ac:dyDescent="0.25">
      <c r="A11502" s="12" t="str">
        <f>("19-41402")</f>
        <v>19-41402</v>
      </c>
      <c r="B11502" s="15" t="s">
        <v>15419</v>
      </c>
      <c r="C11502" s="32">
        <v>3.75</v>
      </c>
    </row>
    <row r="11503" spans="1:3" x14ac:dyDescent="0.25">
      <c r="A11503" s="12" t="str">
        <f>("19-41403")</f>
        <v>19-41403</v>
      </c>
      <c r="B11503" s="15" t="s">
        <v>15420</v>
      </c>
      <c r="C11503" s="32">
        <v>5</v>
      </c>
    </row>
    <row r="11504" spans="1:3" x14ac:dyDescent="0.25">
      <c r="A11504" s="12" t="str">
        <f>("19-42055")</f>
        <v>19-42055</v>
      </c>
      <c r="B11504" s="15" t="s">
        <v>15421</v>
      </c>
      <c r="C11504" s="32">
        <v>1168.75</v>
      </c>
    </row>
    <row r="11505" spans="1:3" x14ac:dyDescent="0.25">
      <c r="A11505" s="12" t="str">
        <f>("19-42065")</f>
        <v>19-42065</v>
      </c>
      <c r="B11505" s="15" t="s">
        <v>15422</v>
      </c>
      <c r="C11505" s="32">
        <v>1168.75</v>
      </c>
    </row>
    <row r="11506" spans="1:3" x14ac:dyDescent="0.25">
      <c r="A11506" s="12" t="str">
        <f>("19-42375")</f>
        <v>19-42375</v>
      </c>
      <c r="B11506" s="15" t="s">
        <v>15423</v>
      </c>
      <c r="C11506" s="32">
        <v>1306.25</v>
      </c>
    </row>
    <row r="11507" spans="1:3" x14ac:dyDescent="0.25">
      <c r="A11507" s="12" t="str">
        <f>("19-42785")</f>
        <v>19-42785</v>
      </c>
      <c r="B11507" s="15" t="s">
        <v>15384</v>
      </c>
      <c r="C11507" s="32">
        <v>1168.75</v>
      </c>
    </row>
    <row r="11508" spans="1:3" x14ac:dyDescent="0.25">
      <c r="A11508" s="12" t="str">
        <f>("19-42815")</f>
        <v>19-42815</v>
      </c>
      <c r="B11508" s="15" t="s">
        <v>15424</v>
      </c>
      <c r="C11508" s="32">
        <v>1306.25</v>
      </c>
    </row>
    <row r="11509" spans="1:3" x14ac:dyDescent="0.25">
      <c r="A11509" s="12" t="str">
        <f>("19-43365")</f>
        <v>19-43365</v>
      </c>
      <c r="B11509" s="15" t="s">
        <v>15425</v>
      </c>
      <c r="C11509" s="32">
        <v>1306.25</v>
      </c>
    </row>
    <row r="11510" spans="1:3" x14ac:dyDescent="0.25">
      <c r="A11510" s="12" t="str">
        <f>("19-43985")</f>
        <v>19-43985</v>
      </c>
      <c r="B11510" s="15" t="s">
        <v>15317</v>
      </c>
      <c r="C11510" s="32">
        <v>1306.25</v>
      </c>
    </row>
    <row r="11511" spans="1:3" x14ac:dyDescent="0.25">
      <c r="A11511" s="12" t="str">
        <f>("19-43995")</f>
        <v>19-43995</v>
      </c>
      <c r="B11511" s="15" t="s">
        <v>15426</v>
      </c>
      <c r="C11511" s="32">
        <v>1168.75</v>
      </c>
    </row>
    <row r="11512" spans="1:3" x14ac:dyDescent="0.25">
      <c r="A11512" s="12" t="str">
        <f>("19-44025")</f>
        <v>19-44025</v>
      </c>
      <c r="B11512" s="15" t="s">
        <v>15427</v>
      </c>
      <c r="C11512" s="32">
        <v>1168.75</v>
      </c>
    </row>
    <row r="11513" spans="1:3" x14ac:dyDescent="0.25">
      <c r="A11513" s="12" t="str">
        <f>("19-44075")</f>
        <v>19-44075</v>
      </c>
      <c r="B11513" s="15" t="s">
        <v>15428</v>
      </c>
      <c r="C11513" s="32">
        <v>1168.75</v>
      </c>
    </row>
    <row r="11514" spans="1:3" x14ac:dyDescent="0.25">
      <c r="A11514" s="12" t="str">
        <f>("19-44095")</f>
        <v>19-44095</v>
      </c>
      <c r="B11514" s="15" t="s">
        <v>15429</v>
      </c>
      <c r="C11514" s="32">
        <v>1306.25</v>
      </c>
    </row>
    <row r="11515" spans="1:3" x14ac:dyDescent="0.25">
      <c r="A11515" s="12" t="str">
        <f>("19-44155")</f>
        <v>19-44155</v>
      </c>
      <c r="B11515" s="15" t="s">
        <v>15430</v>
      </c>
      <c r="C11515" s="32">
        <v>1168.75</v>
      </c>
    </row>
    <row r="11516" spans="1:3" x14ac:dyDescent="0.25">
      <c r="A11516" s="12" t="str">
        <f>("19-44165")</f>
        <v>19-44165</v>
      </c>
      <c r="B11516" s="15" t="s">
        <v>15431</v>
      </c>
      <c r="C11516" s="32">
        <v>1168.75</v>
      </c>
    </row>
    <row r="11517" spans="1:3" x14ac:dyDescent="0.25">
      <c r="A11517" s="12" t="str">
        <f>("19-44175")</f>
        <v>19-44175</v>
      </c>
      <c r="B11517" s="15" t="s">
        <v>15432</v>
      </c>
      <c r="C11517" s="32">
        <v>1306.25</v>
      </c>
    </row>
    <row r="11518" spans="1:3" x14ac:dyDescent="0.25">
      <c r="A11518" s="12" t="str">
        <f>("19-44185")</f>
        <v>19-44185</v>
      </c>
      <c r="B11518" s="15" t="s">
        <v>15433</v>
      </c>
      <c r="C11518" s="32">
        <v>1306.25</v>
      </c>
    </row>
    <row r="11519" spans="1:3" x14ac:dyDescent="0.25">
      <c r="A11519" s="12" t="str">
        <f>("19-44325")</f>
        <v>19-44325</v>
      </c>
      <c r="B11519" s="15" t="s">
        <v>15434</v>
      </c>
      <c r="C11519" s="32">
        <v>1306.25</v>
      </c>
    </row>
    <row r="11520" spans="1:3" x14ac:dyDescent="0.25">
      <c r="A11520" s="12" t="str">
        <f>("19-44545")</f>
        <v>19-44545</v>
      </c>
      <c r="B11520" s="15" t="s">
        <v>15435</v>
      </c>
      <c r="C11520" s="32">
        <v>1306.25</v>
      </c>
    </row>
    <row r="11521" spans="1:3" x14ac:dyDescent="0.25">
      <c r="A11521" s="12" t="str">
        <f>("19-44565")</f>
        <v>19-44565</v>
      </c>
      <c r="B11521" s="15" t="s">
        <v>15436</v>
      </c>
      <c r="C11521" s="32">
        <v>1168.75</v>
      </c>
    </row>
    <row r="11522" spans="1:3" x14ac:dyDescent="0.25">
      <c r="A11522" s="12" t="str">
        <f>("19-44705")</f>
        <v>19-44705</v>
      </c>
      <c r="B11522" s="15" t="s">
        <v>15437</v>
      </c>
      <c r="C11522" s="32">
        <v>1168.75</v>
      </c>
    </row>
    <row r="11523" spans="1:3" x14ac:dyDescent="0.25">
      <c r="A11523" s="12" t="str">
        <f>("19-44735")</f>
        <v>19-44735</v>
      </c>
      <c r="B11523" s="15" t="s">
        <v>15438</v>
      </c>
      <c r="C11523" s="32">
        <v>1306.25</v>
      </c>
    </row>
    <row r="11524" spans="1:3" x14ac:dyDescent="0.25">
      <c r="A11524" s="12" t="str">
        <f>("19-44745")</f>
        <v>19-44745</v>
      </c>
      <c r="B11524" s="15" t="s">
        <v>15439</v>
      </c>
      <c r="C11524" s="32">
        <v>1306.25</v>
      </c>
    </row>
    <row r="11525" spans="1:3" x14ac:dyDescent="0.25">
      <c r="A11525" s="12" t="str">
        <f>("19-44785")</f>
        <v>19-44785</v>
      </c>
      <c r="B11525" s="15" t="s">
        <v>15440</v>
      </c>
      <c r="C11525" s="32">
        <v>1306.25</v>
      </c>
    </row>
    <row r="11526" spans="1:3" x14ac:dyDescent="0.25">
      <c r="A11526" s="12" t="str">
        <f>("19-44795")</f>
        <v>19-44795</v>
      </c>
      <c r="B11526" s="15" t="s">
        <v>15441</v>
      </c>
      <c r="C11526" s="32">
        <v>1168.75</v>
      </c>
    </row>
    <row r="11527" spans="1:3" x14ac:dyDescent="0.25">
      <c r="A11527" s="12" t="str">
        <f>("19-46115")</f>
        <v>19-46115</v>
      </c>
      <c r="B11527" s="15" t="s">
        <v>15442</v>
      </c>
      <c r="C11527" s="32">
        <v>1306.25</v>
      </c>
    </row>
    <row r="11528" spans="1:3" x14ac:dyDescent="0.25">
      <c r="A11528" s="12" t="str">
        <f>("19-46225")</f>
        <v>19-46225</v>
      </c>
      <c r="B11528" s="15" t="s">
        <v>15443</v>
      </c>
      <c r="C11528" s="32">
        <v>1306.25</v>
      </c>
    </row>
    <row r="11529" spans="1:3" x14ac:dyDescent="0.25">
      <c r="A11529" s="12" t="str">
        <f>("19-46235")</f>
        <v>19-46235</v>
      </c>
      <c r="B11529" s="15" t="s">
        <v>15444</v>
      </c>
      <c r="C11529" s="32">
        <v>1168.75</v>
      </c>
    </row>
    <row r="11530" spans="1:3" x14ac:dyDescent="0.25">
      <c r="A11530" s="12" t="str">
        <f>("19-46315")</f>
        <v>19-46315</v>
      </c>
      <c r="B11530" s="15" t="s">
        <v>15445</v>
      </c>
      <c r="C11530" s="32">
        <v>1168.75</v>
      </c>
    </row>
    <row r="11531" spans="1:3" x14ac:dyDescent="0.25">
      <c r="A11531" s="12" t="str">
        <f>("19-46355")</f>
        <v>19-46355</v>
      </c>
      <c r="B11531" s="15" t="s">
        <v>15446</v>
      </c>
      <c r="C11531" s="32">
        <v>1168.75</v>
      </c>
    </row>
    <row r="11532" spans="1:3" x14ac:dyDescent="0.25">
      <c r="A11532" s="12" t="str">
        <f>("19-46365")</f>
        <v>19-46365</v>
      </c>
      <c r="B11532" s="15" t="s">
        <v>15447</v>
      </c>
      <c r="C11532" s="32">
        <v>1306.25</v>
      </c>
    </row>
    <row r="11533" spans="1:3" x14ac:dyDescent="0.25">
      <c r="A11533" s="12" t="str">
        <f>("19-46385")</f>
        <v>19-46385</v>
      </c>
      <c r="B11533" s="15" t="s">
        <v>15448</v>
      </c>
      <c r="C11533" s="32">
        <v>1168.75</v>
      </c>
    </row>
    <row r="11534" spans="1:3" x14ac:dyDescent="0.25">
      <c r="A11534" s="12" t="str">
        <f>("19-50285")</f>
        <v>19-50285</v>
      </c>
      <c r="B11534" s="15" t="s">
        <v>15449</v>
      </c>
      <c r="C11534" s="32">
        <v>3575</v>
      </c>
    </row>
    <row r="11535" spans="1:3" x14ac:dyDescent="0.25">
      <c r="A11535" s="12" t="str">
        <f>("19-51005")</f>
        <v>19-51005</v>
      </c>
      <c r="B11535" s="15" t="s">
        <v>15450</v>
      </c>
      <c r="C11535" s="32">
        <v>3575</v>
      </c>
    </row>
    <row r="11536" spans="1:3" x14ac:dyDescent="0.25">
      <c r="A11536" s="12" t="str">
        <f>("19-51015")</f>
        <v>19-51015</v>
      </c>
      <c r="B11536" s="15" t="s">
        <v>15451</v>
      </c>
      <c r="C11536" s="32">
        <v>3575</v>
      </c>
    </row>
    <row r="11537" spans="1:3" x14ac:dyDescent="0.25">
      <c r="A11537" s="12" t="str">
        <f>("19-51065")</f>
        <v>19-51065</v>
      </c>
      <c r="B11537" s="15" t="s">
        <v>15452</v>
      </c>
      <c r="C11537" s="32">
        <v>3575</v>
      </c>
    </row>
    <row r="11538" spans="1:3" x14ac:dyDescent="0.25">
      <c r="A11538" s="12" t="str">
        <f>("19-52055")</f>
        <v>19-52055</v>
      </c>
      <c r="B11538" s="15" t="s">
        <v>15453</v>
      </c>
      <c r="C11538" s="32">
        <v>3575</v>
      </c>
    </row>
    <row r="11539" spans="1:3" x14ac:dyDescent="0.25">
      <c r="A11539" s="12" t="str">
        <f>("19-52375")</f>
        <v>19-52375</v>
      </c>
      <c r="B11539" s="15" t="s">
        <v>15454</v>
      </c>
      <c r="C11539" s="32">
        <v>3575</v>
      </c>
    </row>
    <row r="11540" spans="1:3" x14ac:dyDescent="0.25">
      <c r="A11540" s="12" t="str">
        <f>("19-52785")</f>
        <v>19-52785</v>
      </c>
      <c r="B11540" s="15" t="s">
        <v>15455</v>
      </c>
      <c r="C11540" s="32">
        <v>3575</v>
      </c>
    </row>
    <row r="11541" spans="1:3" x14ac:dyDescent="0.25">
      <c r="A11541" s="12" t="str">
        <f>("19-52795")</f>
        <v>19-52795</v>
      </c>
      <c r="B11541" s="15" t="s">
        <v>15456</v>
      </c>
      <c r="C11541" s="32">
        <v>3575</v>
      </c>
    </row>
    <row r="11542" spans="1:3" x14ac:dyDescent="0.25">
      <c r="A11542" s="12" t="str">
        <f>("19-53995")</f>
        <v>19-53995</v>
      </c>
      <c r="B11542" s="15" t="s">
        <v>15457</v>
      </c>
      <c r="C11542" s="32">
        <v>3575</v>
      </c>
    </row>
    <row r="11543" spans="1:3" x14ac:dyDescent="0.25">
      <c r="A11543" s="12" t="str">
        <f>("19-54025")</f>
        <v>19-54025</v>
      </c>
      <c r="B11543" s="15" t="s">
        <v>15458</v>
      </c>
      <c r="C11543" s="32">
        <v>3575</v>
      </c>
    </row>
    <row r="11544" spans="1:3" x14ac:dyDescent="0.25">
      <c r="A11544" s="12" t="str">
        <f>("19-54095")</f>
        <v>19-54095</v>
      </c>
      <c r="B11544" s="15" t="s">
        <v>15459</v>
      </c>
      <c r="C11544" s="32">
        <v>3575</v>
      </c>
    </row>
    <row r="11545" spans="1:3" x14ac:dyDescent="0.25">
      <c r="A11545" s="12" t="str">
        <f>("19-54185")</f>
        <v>19-54185</v>
      </c>
      <c r="B11545" s="15" t="s">
        <v>15460</v>
      </c>
      <c r="C11545" s="32">
        <v>3575</v>
      </c>
    </row>
    <row r="11546" spans="1:3" x14ac:dyDescent="0.25">
      <c r="A11546" s="12" t="str">
        <f>("19-54295")</f>
        <v>19-54295</v>
      </c>
      <c r="B11546" s="15" t="s">
        <v>15461</v>
      </c>
      <c r="C11546" s="32">
        <v>3575</v>
      </c>
    </row>
    <row r="11547" spans="1:3" x14ac:dyDescent="0.25">
      <c r="A11547" s="12" t="str">
        <f>("19-54315")</f>
        <v>19-54315</v>
      </c>
      <c r="B11547" s="15" t="s">
        <v>15462</v>
      </c>
      <c r="C11547" s="32">
        <v>3575</v>
      </c>
    </row>
    <row r="11548" spans="1:3" x14ac:dyDescent="0.25">
      <c r="A11548" s="12" t="str">
        <f>("19-54325")</f>
        <v>19-54325</v>
      </c>
      <c r="B11548" s="15" t="s">
        <v>15463</v>
      </c>
      <c r="C11548" s="32">
        <v>3575</v>
      </c>
    </row>
    <row r="11549" spans="1:3" x14ac:dyDescent="0.25">
      <c r="A11549" s="12" t="str">
        <f>("19-54545")</f>
        <v>19-54545</v>
      </c>
      <c r="B11549" s="15" t="s">
        <v>15464</v>
      </c>
      <c r="C11549" s="32">
        <v>3575</v>
      </c>
    </row>
    <row r="11550" spans="1:3" x14ac:dyDescent="0.25">
      <c r="A11550" s="12" t="str">
        <f>("19-54565")</f>
        <v>19-54565</v>
      </c>
      <c r="B11550" s="15" t="s">
        <v>15465</v>
      </c>
      <c r="C11550" s="32">
        <v>3575</v>
      </c>
    </row>
    <row r="11551" spans="1:3" x14ac:dyDescent="0.25">
      <c r="A11551" s="12" t="str">
        <f>("19-54625")</f>
        <v>19-54625</v>
      </c>
      <c r="B11551" s="15" t="s">
        <v>15466</v>
      </c>
      <c r="C11551" s="32">
        <v>3575</v>
      </c>
    </row>
    <row r="11552" spans="1:3" x14ac:dyDescent="0.25">
      <c r="A11552" s="12" t="str">
        <f>("19-54705")</f>
        <v>19-54705</v>
      </c>
      <c r="B11552" s="15" t="s">
        <v>15467</v>
      </c>
      <c r="C11552" s="32">
        <v>3575</v>
      </c>
    </row>
    <row r="11553" spans="1:3" x14ac:dyDescent="0.25">
      <c r="A11553" s="12" t="str">
        <f>("19-54735")</f>
        <v>19-54735</v>
      </c>
      <c r="B11553" s="15" t="s">
        <v>15468</v>
      </c>
      <c r="C11553" s="32">
        <v>3575</v>
      </c>
    </row>
    <row r="11554" spans="1:3" x14ac:dyDescent="0.25">
      <c r="A11554" s="12" t="str">
        <f>("19-54745")</f>
        <v>19-54745</v>
      </c>
      <c r="B11554" s="15" t="s">
        <v>15426</v>
      </c>
      <c r="C11554" s="32">
        <v>3575</v>
      </c>
    </row>
    <row r="11555" spans="1:3" x14ac:dyDescent="0.25">
      <c r="A11555" s="12" t="str">
        <f>("19-54785")</f>
        <v>19-54785</v>
      </c>
      <c r="B11555" s="15" t="s">
        <v>15469</v>
      </c>
      <c r="C11555" s="32">
        <v>3575</v>
      </c>
    </row>
    <row r="11556" spans="1:3" x14ac:dyDescent="0.25">
      <c r="A11556" s="12" t="str">
        <f>("19-55555")</f>
        <v>19-55555</v>
      </c>
      <c r="B11556" s="15" t="s">
        <v>15470</v>
      </c>
      <c r="C11556" s="32">
        <v>3575</v>
      </c>
    </row>
    <row r="11557" spans="1:3" x14ac:dyDescent="0.25">
      <c r="A11557" s="12" t="str">
        <f>("19-56225")</f>
        <v>19-56225</v>
      </c>
      <c r="B11557" s="15" t="s">
        <v>15471</v>
      </c>
      <c r="C11557" s="32">
        <v>3575</v>
      </c>
    </row>
    <row r="11558" spans="1:3" x14ac:dyDescent="0.25">
      <c r="A11558" s="12" t="str">
        <f>("19-56235")</f>
        <v>19-56235</v>
      </c>
      <c r="B11558" s="15" t="s">
        <v>15472</v>
      </c>
      <c r="C11558" s="32">
        <v>3575</v>
      </c>
    </row>
    <row r="11559" spans="1:3" x14ac:dyDescent="0.25">
      <c r="A11559" s="12" t="str">
        <f>("19-56365")</f>
        <v>19-56365</v>
      </c>
      <c r="B11559" s="15" t="s">
        <v>15473</v>
      </c>
      <c r="C11559" s="32">
        <v>3575</v>
      </c>
    </row>
    <row r="11560" spans="1:3" x14ac:dyDescent="0.25">
      <c r="A11560" s="12" t="str">
        <f>("24-61200")</f>
        <v>24-61200</v>
      </c>
      <c r="B11560" s="15" t="s">
        <v>15474</v>
      </c>
      <c r="C11560" s="32">
        <v>791.25</v>
      </c>
    </row>
    <row r="11561" spans="1:3" x14ac:dyDescent="0.25">
      <c r="A11561" s="12" t="str">
        <f>("24-61205")</f>
        <v>24-61205</v>
      </c>
      <c r="B11561" s="15" t="s">
        <v>15474</v>
      </c>
      <c r="C11561" s="32">
        <v>791.25</v>
      </c>
    </row>
    <row r="11562" spans="1:3" x14ac:dyDescent="0.25">
      <c r="A11562" s="12" t="str">
        <f>("24-62770")</f>
        <v>24-62770</v>
      </c>
      <c r="B11562" s="15" t="s">
        <v>13713</v>
      </c>
      <c r="C11562" s="32">
        <v>791.25</v>
      </c>
    </row>
    <row r="11563" spans="1:3" x14ac:dyDescent="0.25">
      <c r="A11563" s="12" t="str">
        <f>("24-62775")</f>
        <v>24-62775</v>
      </c>
      <c r="B11563" s="15" t="s">
        <v>13713</v>
      </c>
      <c r="C11563" s="32">
        <v>791.25</v>
      </c>
    </row>
    <row r="11564" spans="1:3" x14ac:dyDescent="0.25">
      <c r="A11564" s="12" t="str">
        <f>("24-62785")</f>
        <v>24-62785</v>
      </c>
      <c r="B11564" s="15" t="s">
        <v>15475</v>
      </c>
      <c r="C11564" s="32">
        <v>791.25</v>
      </c>
    </row>
    <row r="11565" spans="1:3" x14ac:dyDescent="0.25">
      <c r="A11565" s="12" t="str">
        <f>("24-63245")</f>
        <v>24-63245</v>
      </c>
      <c r="B11565" s="15" t="s">
        <v>13715</v>
      </c>
      <c r="C11565" s="32">
        <v>791.25</v>
      </c>
    </row>
    <row r="11566" spans="1:3" x14ac:dyDescent="0.25">
      <c r="A11566" s="12" t="str">
        <f>("24-63255")</f>
        <v>24-63255</v>
      </c>
      <c r="B11566" s="15" t="s">
        <v>15476</v>
      </c>
      <c r="C11566" s="32">
        <v>791.25</v>
      </c>
    </row>
    <row r="11567" spans="1:3" x14ac:dyDescent="0.25">
      <c r="A11567" s="12" t="str">
        <f>("24-63550")</f>
        <v>24-63550</v>
      </c>
      <c r="B11567" s="15" t="s">
        <v>13718</v>
      </c>
      <c r="C11567" s="32">
        <v>791.25</v>
      </c>
    </row>
    <row r="11568" spans="1:3" x14ac:dyDescent="0.25">
      <c r="A11568" s="12" t="str">
        <f>("24-63555")</f>
        <v>24-63555</v>
      </c>
      <c r="B11568" s="15" t="s">
        <v>13718</v>
      </c>
      <c r="C11568" s="32">
        <v>791.25</v>
      </c>
    </row>
    <row r="11569" spans="1:3" x14ac:dyDescent="0.25">
      <c r="A11569" s="12" t="str">
        <f>("24-63560")</f>
        <v>24-63560</v>
      </c>
      <c r="B11569" s="15" t="s">
        <v>15477</v>
      </c>
      <c r="C11569" s="32">
        <v>791.25</v>
      </c>
    </row>
    <row r="11570" spans="1:3" x14ac:dyDescent="0.25">
      <c r="A11570" s="12" t="str">
        <f>("24-63565")</f>
        <v>24-63565</v>
      </c>
      <c r="B11570" s="15" t="s">
        <v>15477</v>
      </c>
      <c r="C11570" s="32">
        <v>791.25</v>
      </c>
    </row>
    <row r="11571" spans="1:3" x14ac:dyDescent="0.25">
      <c r="A11571" s="12" t="str">
        <f>("24-63785")</f>
        <v>24-63785</v>
      </c>
      <c r="B11571" s="15" t="s">
        <v>15478</v>
      </c>
      <c r="C11571" s="32">
        <v>791.25</v>
      </c>
    </row>
    <row r="11572" spans="1:3" x14ac:dyDescent="0.25">
      <c r="A11572" s="12" t="str">
        <f>("24-63795")</f>
        <v>24-63795</v>
      </c>
      <c r="B11572" s="15" t="s">
        <v>15479</v>
      </c>
      <c r="C11572" s="32">
        <v>791.25</v>
      </c>
    </row>
    <row r="11573" spans="1:3" x14ac:dyDescent="0.25">
      <c r="A11573" s="12" t="str">
        <f>("24-63835")</f>
        <v>24-63835</v>
      </c>
      <c r="B11573" s="15" t="s">
        <v>15480</v>
      </c>
      <c r="C11573" s="32">
        <v>791.25</v>
      </c>
    </row>
    <row r="11574" spans="1:3" x14ac:dyDescent="0.25">
      <c r="A11574" s="12" t="str">
        <f>("24-63935")</f>
        <v>24-63935</v>
      </c>
      <c r="B11574" s="15" t="s">
        <v>15481</v>
      </c>
      <c r="C11574" s="32">
        <v>791.25</v>
      </c>
    </row>
    <row r="11575" spans="1:3" x14ac:dyDescent="0.25">
      <c r="A11575" s="12" t="str">
        <f>("24-63940")</f>
        <v>24-63940</v>
      </c>
      <c r="B11575" s="15" t="s">
        <v>15482</v>
      </c>
      <c r="C11575" s="32">
        <v>791.25</v>
      </c>
    </row>
    <row r="11576" spans="1:3" x14ac:dyDescent="0.25">
      <c r="A11576" s="12" t="str">
        <f>("24-63945")</f>
        <v>24-63945</v>
      </c>
      <c r="B11576" s="15" t="s">
        <v>15482</v>
      </c>
      <c r="C11576" s="32">
        <v>791.25</v>
      </c>
    </row>
    <row r="11577" spans="1:3" x14ac:dyDescent="0.25">
      <c r="A11577" s="12" t="str">
        <f>("24-64010")</f>
        <v>24-64010</v>
      </c>
      <c r="B11577" s="15" t="s">
        <v>13725</v>
      </c>
      <c r="C11577" s="32">
        <v>791.25</v>
      </c>
    </row>
    <row r="11578" spans="1:3" x14ac:dyDescent="0.25">
      <c r="A11578" s="12" t="str">
        <f>("24-64015")</f>
        <v>24-64015</v>
      </c>
      <c r="B11578" s="15" t="s">
        <v>13725</v>
      </c>
      <c r="C11578" s="32">
        <v>791.25</v>
      </c>
    </row>
    <row r="11579" spans="1:3" x14ac:dyDescent="0.25">
      <c r="A11579" s="12" t="str">
        <f>("24-64065")</f>
        <v>24-64065</v>
      </c>
      <c r="B11579" s="15" t="s">
        <v>13726</v>
      </c>
      <c r="C11579" s="32">
        <v>791.25</v>
      </c>
    </row>
    <row r="11580" spans="1:3" x14ac:dyDescent="0.25">
      <c r="A11580" s="12" t="str">
        <f>("24-64080")</f>
        <v>24-64080</v>
      </c>
      <c r="B11580" s="15" t="s">
        <v>15483</v>
      </c>
      <c r="C11580" s="32">
        <v>791.25</v>
      </c>
    </row>
    <row r="11581" spans="1:3" x14ac:dyDescent="0.25">
      <c r="A11581" s="12" t="str">
        <f>("24-64085")</f>
        <v>24-64085</v>
      </c>
      <c r="B11581" s="15" t="s">
        <v>15483</v>
      </c>
      <c r="C11581" s="32">
        <v>791.25</v>
      </c>
    </row>
    <row r="11582" spans="1:3" x14ac:dyDescent="0.25">
      <c r="A11582" s="12" t="str">
        <f>("24-64090")</f>
        <v>24-64090</v>
      </c>
      <c r="B11582" s="15" t="s">
        <v>15484</v>
      </c>
      <c r="C11582" s="32">
        <v>791.25</v>
      </c>
    </row>
    <row r="11583" spans="1:3" x14ac:dyDescent="0.25">
      <c r="A11583" s="12" t="str">
        <f>("24-64095")</f>
        <v>24-64095</v>
      </c>
      <c r="B11583" s="15" t="s">
        <v>15484</v>
      </c>
      <c r="C11583" s="32">
        <v>791.25</v>
      </c>
    </row>
    <row r="11584" spans="1:3" ht="31.5" x14ac:dyDescent="0.25">
      <c r="A11584" s="12" t="str">
        <f>("24-64120")</f>
        <v>24-64120</v>
      </c>
      <c r="B11584" s="15" t="s">
        <v>13729</v>
      </c>
      <c r="C11584" s="32">
        <v>791.25</v>
      </c>
    </row>
    <row r="11585" spans="1:3" ht="31.5" x14ac:dyDescent="0.25">
      <c r="A11585" s="12" t="str">
        <f>("24-64125")</f>
        <v>24-64125</v>
      </c>
      <c r="B11585" s="15" t="s">
        <v>13729</v>
      </c>
      <c r="C11585" s="32">
        <v>791.25</v>
      </c>
    </row>
    <row r="11586" spans="1:3" x14ac:dyDescent="0.25">
      <c r="A11586" s="12" t="str">
        <f>("24-64150")</f>
        <v>24-64150</v>
      </c>
      <c r="B11586" s="15" t="s">
        <v>13752</v>
      </c>
      <c r="C11586" s="32">
        <v>791.25</v>
      </c>
    </row>
    <row r="11587" spans="1:3" x14ac:dyDescent="0.25">
      <c r="A11587" s="12" t="str">
        <f>("24-64155")</f>
        <v>24-64155</v>
      </c>
      <c r="B11587" s="15" t="s">
        <v>13752</v>
      </c>
      <c r="C11587" s="32">
        <v>791.25</v>
      </c>
    </row>
    <row r="11588" spans="1:3" x14ac:dyDescent="0.25">
      <c r="A11588" s="12" t="str">
        <f>("24-64165")</f>
        <v>24-64165</v>
      </c>
      <c r="B11588" s="15" t="s">
        <v>13731</v>
      </c>
      <c r="C11588" s="32">
        <v>791.25</v>
      </c>
    </row>
    <row r="11589" spans="1:3" x14ac:dyDescent="0.25">
      <c r="A11589" s="12" t="str">
        <f>("24-64195")</f>
        <v>24-64195</v>
      </c>
      <c r="B11589" s="15" t="s">
        <v>15485</v>
      </c>
      <c r="C11589" s="32">
        <v>791.25</v>
      </c>
    </row>
    <row r="11590" spans="1:3" x14ac:dyDescent="0.25">
      <c r="A11590" s="12" t="str">
        <f>("24-64230")</f>
        <v>24-64230</v>
      </c>
      <c r="B11590" s="15" t="s">
        <v>13735</v>
      </c>
      <c r="C11590" s="32">
        <v>791.25</v>
      </c>
    </row>
    <row r="11591" spans="1:3" x14ac:dyDescent="0.25">
      <c r="A11591" s="12" t="str">
        <f>("24-64235")</f>
        <v>24-64235</v>
      </c>
      <c r="B11591" s="15" t="s">
        <v>13735</v>
      </c>
      <c r="C11591" s="32">
        <v>791.25</v>
      </c>
    </row>
    <row r="11592" spans="1:3" x14ac:dyDescent="0.25">
      <c r="A11592" s="12" t="str">
        <f>("24-64760")</f>
        <v>24-64760</v>
      </c>
      <c r="B11592" s="15" t="s">
        <v>13999</v>
      </c>
      <c r="C11592" s="32">
        <v>791.25</v>
      </c>
    </row>
    <row r="11593" spans="1:3" x14ac:dyDescent="0.25">
      <c r="A11593" s="12" t="str">
        <f>("24-64765")</f>
        <v>24-64765</v>
      </c>
      <c r="B11593" s="15" t="s">
        <v>13999</v>
      </c>
      <c r="C11593" s="32">
        <v>791.25</v>
      </c>
    </row>
    <row r="11594" spans="1:3" x14ac:dyDescent="0.25">
      <c r="A11594" s="12" t="str">
        <f>("28-31015")</f>
        <v>28-31015</v>
      </c>
      <c r="B11594" s="15" t="s">
        <v>13725</v>
      </c>
      <c r="C11594" s="32">
        <v>1006.25</v>
      </c>
    </row>
    <row r="11595" spans="1:3" x14ac:dyDescent="0.25">
      <c r="A11595" s="12" t="str">
        <f>("28-31035")</f>
        <v>28-31035</v>
      </c>
      <c r="B11595" s="15" t="s">
        <v>15486</v>
      </c>
      <c r="C11595" s="32">
        <v>1867.5</v>
      </c>
    </row>
    <row r="11596" spans="1:3" x14ac:dyDescent="0.25">
      <c r="A11596" s="12" t="str">
        <f>("28-31045")</f>
        <v>28-31045</v>
      </c>
      <c r="B11596" s="15" t="s">
        <v>15487</v>
      </c>
      <c r="C11596" s="32">
        <v>660</v>
      </c>
    </row>
    <row r="11597" spans="1:3" x14ac:dyDescent="0.25">
      <c r="A11597" s="12" t="str">
        <f>("28-31095")</f>
        <v>28-31095</v>
      </c>
      <c r="B11597" s="15" t="s">
        <v>13724</v>
      </c>
      <c r="C11597" s="32">
        <v>1006.25</v>
      </c>
    </row>
    <row r="11598" spans="1:3" x14ac:dyDescent="0.25">
      <c r="A11598" s="12" t="str">
        <f>("28-31135")</f>
        <v>28-31135</v>
      </c>
      <c r="B11598" s="15" t="s">
        <v>13713</v>
      </c>
      <c r="C11598" s="32">
        <v>1005</v>
      </c>
    </row>
    <row r="11599" spans="1:3" x14ac:dyDescent="0.25">
      <c r="A11599" s="12" t="str">
        <f>("28-31275")</f>
        <v>28-31275</v>
      </c>
      <c r="B11599" s="15" t="s">
        <v>14109</v>
      </c>
      <c r="C11599" s="32">
        <v>1005</v>
      </c>
    </row>
    <row r="11600" spans="1:3" x14ac:dyDescent="0.25">
      <c r="A11600" s="12" t="str">
        <f>("28-32165")</f>
        <v>28-32165</v>
      </c>
      <c r="B11600" s="15" t="s">
        <v>14062</v>
      </c>
      <c r="C11600" s="32">
        <v>1006.25</v>
      </c>
    </row>
    <row r="11601" spans="1:3" x14ac:dyDescent="0.25">
      <c r="A11601" s="12" t="str">
        <f>("28-32425")</f>
        <v>28-32425</v>
      </c>
      <c r="B11601" s="15" t="s">
        <v>13733</v>
      </c>
      <c r="C11601" s="32">
        <v>1006.25</v>
      </c>
    </row>
    <row r="11602" spans="1:3" x14ac:dyDescent="0.25">
      <c r="A11602" s="12" t="str">
        <f>("28-32485")</f>
        <v>28-32485</v>
      </c>
      <c r="B11602" s="15" t="s">
        <v>13735</v>
      </c>
      <c r="C11602" s="32">
        <v>1006.25</v>
      </c>
    </row>
    <row r="11603" spans="1:3" x14ac:dyDescent="0.25">
      <c r="A11603" s="12" t="str">
        <f>("28-32785")</f>
        <v>28-32785</v>
      </c>
      <c r="B11603" s="15" t="s">
        <v>13714</v>
      </c>
      <c r="C11603" s="32">
        <v>1006.25</v>
      </c>
    </row>
    <row r="11604" spans="1:3" ht="31.5" x14ac:dyDescent="0.25">
      <c r="A11604" s="12" t="str">
        <f>("28-33565")</f>
        <v>28-33565</v>
      </c>
      <c r="B11604" s="15" t="s">
        <v>15488</v>
      </c>
      <c r="C11604" s="32">
        <v>1005</v>
      </c>
    </row>
    <row r="11605" spans="1:3" x14ac:dyDescent="0.25">
      <c r="A11605" s="12" t="str">
        <f>("28-33725")</f>
        <v>28-33725</v>
      </c>
      <c r="B11605" s="15" t="s">
        <v>15489</v>
      </c>
      <c r="C11605" s="32">
        <v>1006.25</v>
      </c>
    </row>
    <row r="11606" spans="1:3" x14ac:dyDescent="0.25">
      <c r="A11606" s="12" t="str">
        <f>("28-34065")</f>
        <v>28-34065</v>
      </c>
      <c r="B11606" s="15" t="s">
        <v>13726</v>
      </c>
      <c r="C11606" s="32">
        <v>1005</v>
      </c>
    </row>
    <row r="11607" spans="1:3" x14ac:dyDescent="0.25">
      <c r="A11607" s="12" t="str">
        <f>("28-34085")</f>
        <v>28-34085</v>
      </c>
      <c r="B11607" s="15" t="s">
        <v>14664</v>
      </c>
      <c r="C11607" s="32">
        <v>1005</v>
      </c>
    </row>
    <row r="11608" spans="1:3" x14ac:dyDescent="0.25">
      <c r="A11608" s="12" t="str">
        <f>("28-34165")</f>
        <v>28-34165</v>
      </c>
      <c r="B11608" s="15" t="s">
        <v>13731</v>
      </c>
      <c r="C11608" s="32">
        <v>1005</v>
      </c>
    </row>
    <row r="11609" spans="1:3" x14ac:dyDescent="0.25">
      <c r="A11609" s="12" t="str">
        <f>("29-20001")</f>
        <v>29-20001</v>
      </c>
      <c r="B11609" s="15" t="s">
        <v>15490</v>
      </c>
      <c r="C11609" s="32">
        <v>370.33</v>
      </c>
    </row>
    <row r="11610" spans="1:3" x14ac:dyDescent="0.25">
      <c r="A11610" s="12" t="str">
        <f>("29-20002")</f>
        <v>29-20002</v>
      </c>
      <c r="B11610" s="15" t="s">
        <v>15491</v>
      </c>
      <c r="C11610" s="32">
        <v>57.5</v>
      </c>
    </row>
    <row r="11611" spans="1:3" x14ac:dyDescent="0.25">
      <c r="A11611" s="12" t="str">
        <f>("29-20017")</f>
        <v>29-20017</v>
      </c>
      <c r="B11611" s="15" t="s">
        <v>15492</v>
      </c>
      <c r="C11611" s="32">
        <v>103.75</v>
      </c>
    </row>
    <row r="11612" spans="1:3" x14ac:dyDescent="0.25">
      <c r="A11612" s="12" t="str">
        <f>("29-20018")</f>
        <v>29-20018</v>
      </c>
      <c r="B11612" s="15" t="s">
        <v>15493</v>
      </c>
      <c r="C11612" s="32">
        <v>103.75</v>
      </c>
    </row>
    <row r="11613" spans="1:3" x14ac:dyDescent="0.25">
      <c r="A11613" s="12" t="str">
        <f>("29-20031")</f>
        <v>29-20031</v>
      </c>
      <c r="B11613" s="15" t="s">
        <v>15494</v>
      </c>
      <c r="C11613" s="32">
        <v>676.25</v>
      </c>
    </row>
    <row r="11614" spans="1:3" x14ac:dyDescent="0.25">
      <c r="A11614" s="12" t="str">
        <f>("29-20032")</f>
        <v>29-20032</v>
      </c>
      <c r="B11614" s="15" t="s">
        <v>15495</v>
      </c>
      <c r="C11614" s="32">
        <v>676.25</v>
      </c>
    </row>
    <row r="11615" spans="1:3" x14ac:dyDescent="0.25">
      <c r="A11615" s="12" t="str">
        <f>("29-20033")</f>
        <v>29-20033</v>
      </c>
      <c r="B11615" s="15" t="s">
        <v>15496</v>
      </c>
      <c r="C11615" s="32">
        <v>676.25</v>
      </c>
    </row>
    <row r="11616" spans="1:3" x14ac:dyDescent="0.25">
      <c r="A11616" s="12" t="str">
        <f>("29-20034")</f>
        <v>29-20034</v>
      </c>
      <c r="B11616" s="15" t="s">
        <v>15497</v>
      </c>
      <c r="C11616" s="32">
        <v>676.25</v>
      </c>
    </row>
    <row r="11617" spans="1:3" x14ac:dyDescent="0.25">
      <c r="A11617" s="12" t="str">
        <f>("29-20035")</f>
        <v>29-20035</v>
      </c>
      <c r="B11617" s="15" t="s">
        <v>15498</v>
      </c>
      <c r="C11617" s="32">
        <v>676.25</v>
      </c>
    </row>
    <row r="11618" spans="1:3" x14ac:dyDescent="0.25">
      <c r="A11618" s="12" t="str">
        <f>("29-20036")</f>
        <v>29-20036</v>
      </c>
      <c r="B11618" s="15" t="s">
        <v>15499</v>
      </c>
      <c r="C11618" s="32">
        <v>676.25</v>
      </c>
    </row>
    <row r="11619" spans="1:3" x14ac:dyDescent="0.25">
      <c r="A11619" s="12" t="str">
        <f>("29-20037")</f>
        <v>29-20037</v>
      </c>
      <c r="B11619" s="15" t="s">
        <v>15500</v>
      </c>
      <c r="C11619" s="32">
        <v>676.25</v>
      </c>
    </row>
    <row r="11620" spans="1:3" x14ac:dyDescent="0.25">
      <c r="A11620" s="12" t="str">
        <f>("29-20038")</f>
        <v>29-20038</v>
      </c>
      <c r="B11620" s="15" t="s">
        <v>15501</v>
      </c>
      <c r="C11620" s="32">
        <v>676.25</v>
      </c>
    </row>
    <row r="11621" spans="1:3" x14ac:dyDescent="0.25">
      <c r="A11621" s="12" t="str">
        <f>("29-20039")</f>
        <v>29-20039</v>
      </c>
      <c r="B11621" s="15" t="s">
        <v>15502</v>
      </c>
      <c r="C11621" s="32">
        <v>676.25</v>
      </c>
    </row>
    <row r="11622" spans="1:3" x14ac:dyDescent="0.25">
      <c r="A11622" s="12" t="str">
        <f>("29-20040")</f>
        <v>29-20040</v>
      </c>
      <c r="B11622" s="15" t="s">
        <v>15503</v>
      </c>
      <c r="C11622" s="32">
        <v>676.25</v>
      </c>
    </row>
    <row r="11623" spans="1:3" x14ac:dyDescent="0.25">
      <c r="A11623" s="12" t="str">
        <f>("29-20041")</f>
        <v>29-20041</v>
      </c>
      <c r="B11623" s="15" t="s">
        <v>15504</v>
      </c>
      <c r="C11623" s="32">
        <v>676.25</v>
      </c>
    </row>
    <row r="11624" spans="1:3" x14ac:dyDescent="0.25">
      <c r="A11624" s="12" t="str">
        <f>("29-20042")</f>
        <v>29-20042</v>
      </c>
      <c r="B11624" s="15" t="s">
        <v>15505</v>
      </c>
      <c r="C11624" s="32">
        <v>676.25</v>
      </c>
    </row>
    <row r="11625" spans="1:3" x14ac:dyDescent="0.25">
      <c r="A11625" s="12" t="str">
        <f>("29-20043")</f>
        <v>29-20043</v>
      </c>
      <c r="B11625" s="15" t="s">
        <v>15506</v>
      </c>
      <c r="C11625" s="32">
        <v>676.25</v>
      </c>
    </row>
    <row r="11626" spans="1:3" x14ac:dyDescent="0.25">
      <c r="A11626" s="12" t="str">
        <f>("29-20044")</f>
        <v>29-20044</v>
      </c>
      <c r="B11626" s="15" t="s">
        <v>15507</v>
      </c>
      <c r="C11626" s="32">
        <v>676.25</v>
      </c>
    </row>
    <row r="11627" spans="1:3" x14ac:dyDescent="0.25">
      <c r="A11627" s="12" t="str">
        <f>("29-20045")</f>
        <v>29-20045</v>
      </c>
      <c r="B11627" s="15" t="s">
        <v>15508</v>
      </c>
      <c r="C11627" s="32">
        <v>676.25</v>
      </c>
    </row>
    <row r="11628" spans="1:3" x14ac:dyDescent="0.25">
      <c r="A11628" s="12" t="str">
        <f>("29-20046")</f>
        <v>29-20046</v>
      </c>
      <c r="B11628" s="15" t="s">
        <v>15509</v>
      </c>
      <c r="C11628" s="32">
        <v>676.25</v>
      </c>
    </row>
    <row r="11629" spans="1:3" x14ac:dyDescent="0.25">
      <c r="A11629" s="12" t="str">
        <f>("29-20047")</f>
        <v>29-20047</v>
      </c>
      <c r="B11629" s="15" t="s">
        <v>15510</v>
      </c>
      <c r="C11629" s="32">
        <v>676.25</v>
      </c>
    </row>
    <row r="11630" spans="1:3" x14ac:dyDescent="0.25">
      <c r="A11630" s="12" t="str">
        <f>("29-20048")</f>
        <v>29-20048</v>
      </c>
      <c r="B11630" s="15" t="s">
        <v>15511</v>
      </c>
      <c r="C11630" s="32">
        <v>676.25</v>
      </c>
    </row>
    <row r="11631" spans="1:3" x14ac:dyDescent="0.25">
      <c r="A11631" s="12" t="str">
        <f>("29-21035")</f>
        <v>29-21035</v>
      </c>
      <c r="B11631" s="15" t="s">
        <v>15512</v>
      </c>
      <c r="C11631" s="32">
        <v>2155</v>
      </c>
    </row>
    <row r="11632" spans="1:3" x14ac:dyDescent="0.25">
      <c r="A11632" s="12" t="str">
        <f>("29-22775")</f>
        <v>29-22775</v>
      </c>
      <c r="B11632" s="15" t="s">
        <v>13713</v>
      </c>
      <c r="C11632" s="32">
        <v>2155</v>
      </c>
    </row>
    <row r="11633" spans="1:3" x14ac:dyDescent="0.25">
      <c r="A11633" s="12" t="str">
        <f>("29-22785")</f>
        <v>29-22785</v>
      </c>
      <c r="B11633" s="15" t="s">
        <v>13714</v>
      </c>
      <c r="C11633" s="32">
        <v>2155</v>
      </c>
    </row>
    <row r="11634" spans="1:3" x14ac:dyDescent="0.25">
      <c r="A11634" s="12" t="str">
        <f>("29-23255")</f>
        <v>29-23255</v>
      </c>
      <c r="B11634" s="15" t="s">
        <v>13716</v>
      </c>
      <c r="C11634" s="32">
        <v>2155</v>
      </c>
    </row>
    <row r="11635" spans="1:3" x14ac:dyDescent="0.25">
      <c r="A11635" s="12" t="str">
        <f>("29-23295")</f>
        <v>29-23295</v>
      </c>
      <c r="B11635" s="15" t="s">
        <v>13717</v>
      </c>
      <c r="C11635" s="32">
        <v>2155</v>
      </c>
    </row>
    <row r="11636" spans="1:3" x14ac:dyDescent="0.25">
      <c r="A11636" s="12" t="str">
        <f>("29-23555")</f>
        <v>29-23555</v>
      </c>
      <c r="B11636" s="15" t="s">
        <v>13718</v>
      </c>
      <c r="C11636" s="32">
        <v>2155</v>
      </c>
    </row>
    <row r="11637" spans="1:3" ht="31.5" x14ac:dyDescent="0.25">
      <c r="A11637" s="12" t="str">
        <f>("29-23565")</f>
        <v>29-23565</v>
      </c>
      <c r="B11637" s="15" t="s">
        <v>15513</v>
      </c>
      <c r="C11637" s="32">
        <v>2155</v>
      </c>
    </row>
    <row r="11638" spans="1:3" x14ac:dyDescent="0.25">
      <c r="A11638" s="12" t="str">
        <f>("29-23725")</f>
        <v>29-23725</v>
      </c>
      <c r="B11638" s="15" t="s">
        <v>14586</v>
      </c>
      <c r="C11638" s="32">
        <v>2155</v>
      </c>
    </row>
    <row r="11639" spans="1:3" ht="31.5" x14ac:dyDescent="0.25">
      <c r="A11639" s="12" t="str">
        <f>("29-23835")</f>
        <v>29-23835</v>
      </c>
      <c r="B11639" s="15" t="s">
        <v>13722</v>
      </c>
      <c r="C11639" s="32">
        <v>2155</v>
      </c>
    </row>
    <row r="11640" spans="1:3" x14ac:dyDescent="0.25">
      <c r="A11640" s="12" t="str">
        <f>("29-23935")</f>
        <v>29-23935</v>
      </c>
      <c r="B11640" s="15" t="s">
        <v>13723</v>
      </c>
      <c r="C11640" s="32">
        <v>2155</v>
      </c>
    </row>
    <row r="11641" spans="1:3" x14ac:dyDescent="0.25">
      <c r="A11641" s="12" t="str">
        <f>("29-23945")</f>
        <v>29-23945</v>
      </c>
      <c r="B11641" s="15" t="s">
        <v>13724</v>
      </c>
      <c r="C11641" s="32">
        <v>2155</v>
      </c>
    </row>
    <row r="11642" spans="1:3" x14ac:dyDescent="0.25">
      <c r="A11642" s="12" t="str">
        <f>("29-24015")</f>
        <v>29-24015</v>
      </c>
      <c r="B11642" s="15" t="s">
        <v>13725</v>
      </c>
      <c r="C11642" s="32">
        <v>2155</v>
      </c>
    </row>
    <row r="11643" spans="1:3" x14ac:dyDescent="0.25">
      <c r="A11643" s="12" t="str">
        <f>("29-24065")</f>
        <v>29-24065</v>
      </c>
      <c r="B11643" s="15" t="s">
        <v>13726</v>
      </c>
      <c r="C11643" s="32">
        <v>2155</v>
      </c>
    </row>
    <row r="11644" spans="1:3" x14ac:dyDescent="0.25">
      <c r="A11644" s="12" t="str">
        <f>("29-24085")</f>
        <v>29-24085</v>
      </c>
      <c r="B11644" s="15" t="s">
        <v>14664</v>
      </c>
      <c r="C11644" s="32">
        <v>2155</v>
      </c>
    </row>
    <row r="11645" spans="1:3" ht="31.5" x14ac:dyDescent="0.25">
      <c r="A11645" s="12" t="str">
        <f>("29-24125")</f>
        <v>29-24125</v>
      </c>
      <c r="B11645" s="15" t="s">
        <v>13729</v>
      </c>
      <c r="C11645" s="32">
        <v>2155</v>
      </c>
    </row>
    <row r="11646" spans="1:3" ht="31.5" x14ac:dyDescent="0.25">
      <c r="A11646" s="12" t="str">
        <f>("29-24135")</f>
        <v>29-24135</v>
      </c>
      <c r="B11646" s="15" t="s">
        <v>13730</v>
      </c>
      <c r="C11646" s="32">
        <v>2155</v>
      </c>
    </row>
    <row r="11647" spans="1:3" x14ac:dyDescent="0.25">
      <c r="A11647" s="12" t="str">
        <f>("29-24155")</f>
        <v>29-24155</v>
      </c>
      <c r="B11647" s="15" t="s">
        <v>13803</v>
      </c>
      <c r="C11647" s="32">
        <v>2155</v>
      </c>
    </row>
    <row r="11648" spans="1:3" x14ac:dyDescent="0.25">
      <c r="A11648" s="12" t="str">
        <f>("29-24165")</f>
        <v>29-24165</v>
      </c>
      <c r="B11648" s="15" t="s">
        <v>13731</v>
      </c>
      <c r="C11648" s="32">
        <v>2155</v>
      </c>
    </row>
    <row r="11649" spans="1:3" x14ac:dyDescent="0.25">
      <c r="A11649" s="12" t="str">
        <f>("29-24185")</f>
        <v>29-24185</v>
      </c>
      <c r="B11649" s="15" t="s">
        <v>13732</v>
      </c>
      <c r="C11649" s="32">
        <v>2155</v>
      </c>
    </row>
    <row r="11650" spans="1:3" x14ac:dyDescent="0.25">
      <c r="A11650" s="12" t="str">
        <f>("29-24195")</f>
        <v>29-24195</v>
      </c>
      <c r="B11650" s="15" t="s">
        <v>15514</v>
      </c>
      <c r="C11650" s="32">
        <v>2155</v>
      </c>
    </row>
    <row r="11651" spans="1:3" x14ac:dyDescent="0.25">
      <c r="A11651" s="12" t="str">
        <f>("29-24225")</f>
        <v>29-24225</v>
      </c>
      <c r="B11651" s="15" t="s">
        <v>13735</v>
      </c>
      <c r="C11651" s="32">
        <v>2155</v>
      </c>
    </row>
    <row r="11652" spans="1:3" x14ac:dyDescent="0.25">
      <c r="A11652" s="12" t="str">
        <f>("29-24235")</f>
        <v>29-24235</v>
      </c>
      <c r="B11652" s="15" t="s">
        <v>13734</v>
      </c>
      <c r="C11652" s="32">
        <v>2155</v>
      </c>
    </row>
    <row r="11653" spans="1:3" x14ac:dyDescent="0.25">
      <c r="A11653" s="12" t="str">
        <f>("35-170451")</f>
        <v>35-170451</v>
      </c>
      <c r="B11653" s="15" t="s">
        <v>15515</v>
      </c>
      <c r="C11653" s="32">
        <v>712.5</v>
      </c>
    </row>
    <row r="11654" spans="1:3" x14ac:dyDescent="0.25">
      <c r="A11654" s="12" t="str">
        <f>("38-11011")</f>
        <v>38-11011</v>
      </c>
      <c r="B11654" s="15" t="s">
        <v>15516</v>
      </c>
      <c r="C11654" s="32">
        <v>729.45</v>
      </c>
    </row>
    <row r="11655" spans="1:3" x14ac:dyDescent="0.25">
      <c r="A11655" s="12" t="str">
        <f>("38-11013")</f>
        <v>38-11013</v>
      </c>
      <c r="B11655" s="15" t="s">
        <v>15517</v>
      </c>
      <c r="C11655" s="32">
        <v>640.59</v>
      </c>
    </row>
    <row r="11656" spans="1:3" x14ac:dyDescent="0.25">
      <c r="A11656" s="12" t="str">
        <f>("38-11424")</f>
        <v>38-11424</v>
      </c>
      <c r="B11656" s="15" t="s">
        <v>15518</v>
      </c>
      <c r="C11656" s="32">
        <v>1259.94</v>
      </c>
    </row>
    <row r="11657" spans="1:3" x14ac:dyDescent="0.25">
      <c r="A11657" s="12" t="str">
        <f>("38-12011")</f>
        <v>38-12011</v>
      </c>
      <c r="B11657" s="15" t="s">
        <v>15516</v>
      </c>
      <c r="C11657" s="32">
        <v>709.55</v>
      </c>
    </row>
    <row r="11658" spans="1:3" x14ac:dyDescent="0.25">
      <c r="A11658" s="12" t="str">
        <f>("38-13011")</f>
        <v>38-13011</v>
      </c>
      <c r="B11658" s="15" t="s">
        <v>15516</v>
      </c>
      <c r="C11658" s="32">
        <v>663.13</v>
      </c>
    </row>
    <row r="11659" spans="1:3" x14ac:dyDescent="0.25">
      <c r="A11659" s="12" t="str">
        <f>("38-14012")</f>
        <v>38-14012</v>
      </c>
      <c r="B11659" s="15">
        <v>870</v>
      </c>
      <c r="C11659" s="32">
        <v>696.29</v>
      </c>
    </row>
    <row r="11660" spans="1:3" x14ac:dyDescent="0.25">
      <c r="A11660" s="12" t="str">
        <f>("38-15011")</f>
        <v>38-15011</v>
      </c>
      <c r="B11660" s="15" t="s">
        <v>15516</v>
      </c>
      <c r="C11660" s="32">
        <v>563.66</v>
      </c>
    </row>
    <row r="11661" spans="1:3" x14ac:dyDescent="0.25">
      <c r="A11661" s="12" t="str">
        <f>("38-16011")</f>
        <v>38-16011</v>
      </c>
      <c r="B11661" s="15" t="s">
        <v>15516</v>
      </c>
      <c r="C11661" s="32">
        <v>464.19</v>
      </c>
    </row>
    <row r="11662" spans="1:3" x14ac:dyDescent="0.25">
      <c r="A11662" s="12" t="str">
        <f>("38-2001")</f>
        <v>38-2001</v>
      </c>
      <c r="B11662" s="15" t="s">
        <v>15519</v>
      </c>
      <c r="C11662" s="32">
        <v>54.16</v>
      </c>
    </row>
    <row r="11663" spans="1:3" x14ac:dyDescent="0.25">
      <c r="A11663" s="12" t="str">
        <f>("38-2002")</f>
        <v>38-2002</v>
      </c>
      <c r="B11663" s="15" t="s">
        <v>15520</v>
      </c>
      <c r="C11663" s="32">
        <v>69.63</v>
      </c>
    </row>
    <row r="11664" spans="1:3" x14ac:dyDescent="0.25">
      <c r="A11664" s="12" t="str">
        <f>("38-2003")</f>
        <v>38-2003</v>
      </c>
      <c r="B11664" s="15" t="s">
        <v>15520</v>
      </c>
      <c r="C11664" s="32">
        <v>23.21</v>
      </c>
    </row>
    <row r="11665" spans="1:3" x14ac:dyDescent="0.25">
      <c r="A11665" s="12" t="str">
        <f>("38-2004")</f>
        <v>38-2004</v>
      </c>
      <c r="B11665" s="15" t="s">
        <v>15520</v>
      </c>
      <c r="C11665" s="32">
        <v>193.41</v>
      </c>
    </row>
    <row r="11666" spans="1:3" x14ac:dyDescent="0.25">
      <c r="A11666" s="12" t="str">
        <f>("38-2005")</f>
        <v>38-2005</v>
      </c>
      <c r="B11666" s="15" t="s">
        <v>15520</v>
      </c>
      <c r="C11666" s="32">
        <v>239.84</v>
      </c>
    </row>
    <row r="11667" spans="1:3" x14ac:dyDescent="0.25">
      <c r="A11667" s="12" t="str">
        <f>("38-2006")</f>
        <v>38-2006</v>
      </c>
      <c r="B11667" s="15" t="s">
        <v>15521</v>
      </c>
      <c r="C11667" s="32">
        <v>69.63</v>
      </c>
    </row>
    <row r="11668" spans="1:3" x14ac:dyDescent="0.25">
      <c r="A11668" s="12" t="str">
        <f>("38-2007")</f>
        <v>38-2007</v>
      </c>
      <c r="B11668" s="15" t="s">
        <v>15519</v>
      </c>
      <c r="C11668" s="32">
        <v>38.68</v>
      </c>
    </row>
    <row r="11669" spans="1:3" x14ac:dyDescent="0.25">
      <c r="A11669" s="12" t="str">
        <f>("38-3001")</f>
        <v>38-3001</v>
      </c>
      <c r="B11669" s="15" t="s">
        <v>15520</v>
      </c>
      <c r="C11669" s="32">
        <v>18.559999999999999</v>
      </c>
    </row>
    <row r="11670" spans="1:3" x14ac:dyDescent="0.25">
      <c r="A11670" s="12" t="str">
        <f>("38-30010")</f>
        <v>38-30010</v>
      </c>
      <c r="B11670" s="15" t="s">
        <v>15520</v>
      </c>
      <c r="C11670" s="32">
        <v>10.84</v>
      </c>
    </row>
    <row r="11671" spans="1:3" x14ac:dyDescent="0.25">
      <c r="A11671" s="12" t="str">
        <f>("38-3002")</f>
        <v>38-3002</v>
      </c>
      <c r="B11671" s="15" t="s">
        <v>15516</v>
      </c>
      <c r="C11671" s="32">
        <v>23.15</v>
      </c>
    </row>
    <row r="11672" spans="1:3" x14ac:dyDescent="0.25">
      <c r="A11672" s="12" t="str">
        <f>("38-3003")</f>
        <v>38-3003</v>
      </c>
      <c r="B11672" s="15" t="s">
        <v>15522</v>
      </c>
      <c r="C11672" s="32">
        <v>348.15</v>
      </c>
    </row>
    <row r="11673" spans="1:3" x14ac:dyDescent="0.25">
      <c r="A11673" s="12" t="str">
        <f>("38-3004")</f>
        <v>38-3004</v>
      </c>
      <c r="B11673" s="15" t="s">
        <v>15516</v>
      </c>
      <c r="C11673" s="32">
        <v>69.63</v>
      </c>
    </row>
    <row r="11674" spans="1:3" x14ac:dyDescent="0.25">
      <c r="A11674" s="12" t="str">
        <f>("38-3005")</f>
        <v>38-3005</v>
      </c>
      <c r="B11674" s="15" t="s">
        <v>15523</v>
      </c>
      <c r="C11674" s="32">
        <v>69.63</v>
      </c>
    </row>
    <row r="11675" spans="1:3" x14ac:dyDescent="0.25">
      <c r="A11675" s="12" t="str">
        <f>("38-3006")</f>
        <v>38-3006</v>
      </c>
      <c r="B11675" s="15" t="s">
        <v>15520</v>
      </c>
      <c r="C11675" s="32">
        <v>176.84</v>
      </c>
    </row>
    <row r="11676" spans="1:3" x14ac:dyDescent="0.25">
      <c r="A11676" s="12" t="str">
        <f>("38-3007")</f>
        <v>38-3007</v>
      </c>
      <c r="B11676" s="15" t="s">
        <v>15520</v>
      </c>
      <c r="C11676" s="32">
        <v>221.04</v>
      </c>
    </row>
    <row r="11677" spans="1:3" x14ac:dyDescent="0.25">
      <c r="A11677" s="12" t="str">
        <f>("38-3008")</f>
        <v>38-3008</v>
      </c>
      <c r="B11677" s="15" t="s">
        <v>15520</v>
      </c>
      <c r="C11677" s="32">
        <v>54.16</v>
      </c>
    </row>
    <row r="11678" spans="1:3" x14ac:dyDescent="0.25">
      <c r="A11678" s="12" t="str">
        <f>("38-3009")</f>
        <v>38-3009</v>
      </c>
      <c r="B11678" s="15" t="s">
        <v>15520</v>
      </c>
      <c r="C11678" s="32">
        <v>13.93</v>
      </c>
    </row>
    <row r="11679" spans="1:3" x14ac:dyDescent="0.25">
      <c r="A11679" s="12" t="str">
        <f>("4-56-802003")</f>
        <v>4-56-802003</v>
      </c>
      <c r="B11679" s="15"/>
      <c r="C11679" s="32">
        <v>7.5</v>
      </c>
    </row>
    <row r="11680" spans="1:3" x14ac:dyDescent="0.25">
      <c r="A11680" s="12" t="str">
        <f>("42-14065")</f>
        <v>42-14065</v>
      </c>
      <c r="B11680" s="15" t="s">
        <v>13726</v>
      </c>
      <c r="C11680" s="32">
        <v>1078.75</v>
      </c>
    </row>
    <row r="11681" spans="1:3" x14ac:dyDescent="0.25">
      <c r="A11681" s="12" t="str">
        <f>("42-14165")</f>
        <v>42-14165</v>
      </c>
      <c r="B11681" s="15" t="s">
        <v>13731</v>
      </c>
      <c r="C11681" s="32">
        <v>1078.75</v>
      </c>
    </row>
    <row r="11682" spans="1:3" x14ac:dyDescent="0.25">
      <c r="A11682" s="12" t="str">
        <f>("42-14185")</f>
        <v>42-14185</v>
      </c>
      <c r="B11682" s="15" t="s">
        <v>13732</v>
      </c>
      <c r="C11682" s="32">
        <v>1150</v>
      </c>
    </row>
    <row r="11683" spans="1:3" x14ac:dyDescent="0.25">
      <c r="A11683" s="12" t="str">
        <f>("42-141855")</f>
        <v>42-141855</v>
      </c>
      <c r="B11683" s="15" t="s">
        <v>13732</v>
      </c>
      <c r="C11683" s="32">
        <v>180</v>
      </c>
    </row>
    <row r="11684" spans="1:3" x14ac:dyDescent="0.25">
      <c r="A11684" s="12" t="str">
        <f>("42-14195")</f>
        <v>42-14195</v>
      </c>
      <c r="B11684" s="15" t="s">
        <v>13733</v>
      </c>
      <c r="C11684" s="32">
        <v>1293.75</v>
      </c>
    </row>
    <row r="11685" spans="1:3" x14ac:dyDescent="0.25">
      <c r="A11685" s="12" t="str">
        <f>("42-141955")</f>
        <v>42-141955</v>
      </c>
      <c r="B11685" s="15" t="s">
        <v>13733</v>
      </c>
      <c r="C11685" s="32">
        <v>180</v>
      </c>
    </row>
    <row r="11686" spans="1:3" x14ac:dyDescent="0.25">
      <c r="A11686" s="12" t="str">
        <f>("42-14205")</f>
        <v>42-14205</v>
      </c>
      <c r="B11686" s="15" t="s">
        <v>15524</v>
      </c>
      <c r="C11686" s="32">
        <v>1293.75</v>
      </c>
    </row>
    <row r="11687" spans="1:3" x14ac:dyDescent="0.25">
      <c r="A11687" s="12" t="str">
        <f>("57-23900")</f>
        <v>57-23900</v>
      </c>
      <c r="B11687" s="15" t="s">
        <v>14651</v>
      </c>
      <c r="C11687" s="32">
        <v>2005</v>
      </c>
    </row>
    <row r="11688" spans="1:3" x14ac:dyDescent="0.25">
      <c r="A11688" s="12" t="str">
        <f>("57-923545")</f>
        <v>57-923545</v>
      </c>
      <c r="B11688" s="15" t="s">
        <v>14163</v>
      </c>
      <c r="C11688" s="32">
        <v>1702.5</v>
      </c>
    </row>
    <row r="11689" spans="1:3" x14ac:dyDescent="0.25">
      <c r="A11689" s="12" t="str">
        <f>("57-923545A")</f>
        <v>57-923545A</v>
      </c>
      <c r="B11689" s="15" t="s">
        <v>14696</v>
      </c>
      <c r="C11689" s="32">
        <v>935</v>
      </c>
    </row>
    <row r="11690" spans="1:3" x14ac:dyDescent="0.25">
      <c r="A11690" s="12" t="str">
        <f>("57-923555")</f>
        <v>57-923555</v>
      </c>
      <c r="B11690" s="15" t="s">
        <v>14235</v>
      </c>
      <c r="C11690" s="32">
        <v>1462.5</v>
      </c>
    </row>
    <row r="11691" spans="1:3" x14ac:dyDescent="0.25">
      <c r="A11691" s="12" t="str">
        <f>("57-923555A")</f>
        <v>57-923555A</v>
      </c>
      <c r="B11691" s="15" t="s">
        <v>14235</v>
      </c>
      <c r="C11691" s="32">
        <v>935</v>
      </c>
    </row>
    <row r="11692" spans="1:3" x14ac:dyDescent="0.25">
      <c r="A11692" s="12" t="str">
        <f>("57-923705")</f>
        <v>57-923705</v>
      </c>
      <c r="B11692" s="15" t="s">
        <v>14217</v>
      </c>
      <c r="C11692" s="32">
        <v>1510</v>
      </c>
    </row>
    <row r="11693" spans="1:3" x14ac:dyDescent="0.25">
      <c r="A11693" s="12" t="str">
        <f>("57-923705A")</f>
        <v>57-923705A</v>
      </c>
      <c r="B11693" s="15" t="s">
        <v>14217</v>
      </c>
      <c r="C11693" s="32">
        <v>935</v>
      </c>
    </row>
    <row r="11694" spans="1:3" x14ac:dyDescent="0.25">
      <c r="A11694" s="12" t="str">
        <f>("57-923875")</f>
        <v>57-923875</v>
      </c>
      <c r="B11694" s="15" t="s">
        <v>14177</v>
      </c>
      <c r="C11694" s="32">
        <v>1510</v>
      </c>
    </row>
    <row r="11695" spans="1:3" x14ac:dyDescent="0.25">
      <c r="A11695" s="12" t="str">
        <f>("57-923875A")</f>
        <v>57-923875A</v>
      </c>
      <c r="B11695" s="15" t="s">
        <v>14177</v>
      </c>
      <c r="C11695" s="32">
        <v>935</v>
      </c>
    </row>
    <row r="11696" spans="1:3" x14ac:dyDescent="0.25">
      <c r="A11696" s="12" t="str">
        <f>("57-923905")</f>
        <v>57-923905</v>
      </c>
      <c r="B11696" s="15" t="s">
        <v>15525</v>
      </c>
      <c r="C11696" s="32">
        <v>1702.5</v>
      </c>
    </row>
    <row r="11697" spans="1:3" x14ac:dyDescent="0.25">
      <c r="A11697" s="12" t="str">
        <f>("57-923905A")</f>
        <v>57-923905A</v>
      </c>
      <c r="B11697" s="15" t="s">
        <v>14162</v>
      </c>
      <c r="C11697" s="32">
        <v>935</v>
      </c>
    </row>
    <row r="11698" spans="1:3" x14ac:dyDescent="0.25">
      <c r="A11698" s="12" t="str">
        <f>("57-923935")</f>
        <v>57-923935</v>
      </c>
      <c r="B11698" s="15" t="s">
        <v>15526</v>
      </c>
      <c r="C11698" s="32">
        <v>1510</v>
      </c>
    </row>
    <row r="11699" spans="1:3" x14ac:dyDescent="0.25">
      <c r="A11699" s="12" t="str">
        <f>("57-923935A")</f>
        <v>57-923935A</v>
      </c>
      <c r="B11699" s="15" t="s">
        <v>15527</v>
      </c>
      <c r="C11699" s="32">
        <v>935</v>
      </c>
    </row>
    <row r="11700" spans="1:3" x14ac:dyDescent="0.25">
      <c r="A11700" s="12" t="str">
        <f>("57-923955")</f>
        <v>57-923955</v>
      </c>
      <c r="B11700" s="15" t="s">
        <v>15528</v>
      </c>
      <c r="C11700" s="32">
        <v>1510</v>
      </c>
    </row>
    <row r="11701" spans="1:3" x14ac:dyDescent="0.25">
      <c r="A11701" s="12" t="str">
        <f>("57-923955A")</f>
        <v>57-923955A</v>
      </c>
      <c r="B11701" s="15" t="s">
        <v>15529</v>
      </c>
      <c r="C11701" s="32">
        <v>935</v>
      </c>
    </row>
    <row r="11702" spans="1:3" x14ac:dyDescent="0.25">
      <c r="A11702" s="12" t="str">
        <f>("57-923995")</f>
        <v>57-923995</v>
      </c>
      <c r="B11702" s="15" t="s">
        <v>14657</v>
      </c>
      <c r="C11702" s="32">
        <v>1510</v>
      </c>
    </row>
    <row r="11703" spans="1:3" x14ac:dyDescent="0.25">
      <c r="A11703" s="12" t="str">
        <f>("57-923995A")</f>
        <v>57-923995A</v>
      </c>
      <c r="B11703" s="15" t="s">
        <v>14703</v>
      </c>
      <c r="C11703" s="32">
        <v>935</v>
      </c>
    </row>
    <row r="11704" spans="1:3" x14ac:dyDescent="0.25">
      <c r="A11704" s="12" t="str">
        <f>("57-924025")</f>
        <v>57-924025</v>
      </c>
      <c r="B11704" s="15" t="s">
        <v>14149</v>
      </c>
      <c r="C11704" s="32">
        <v>1462.5</v>
      </c>
    </row>
    <row r="11705" spans="1:3" x14ac:dyDescent="0.25">
      <c r="A11705" s="12" t="str">
        <f>("57-924025A")</f>
        <v>57-924025A</v>
      </c>
      <c r="B11705" s="15" t="s">
        <v>14705</v>
      </c>
      <c r="C11705" s="32">
        <v>935</v>
      </c>
    </row>
    <row r="11706" spans="1:3" x14ac:dyDescent="0.25">
      <c r="A11706" s="12" t="str">
        <f>("57-924065")</f>
        <v>57-924065</v>
      </c>
      <c r="B11706" s="15" t="s">
        <v>15530</v>
      </c>
      <c r="C11706" s="32">
        <v>1510</v>
      </c>
    </row>
    <row r="11707" spans="1:3" x14ac:dyDescent="0.25">
      <c r="A11707" s="12" t="str">
        <f>("57-924065A")</f>
        <v>57-924065A</v>
      </c>
      <c r="B11707" s="15" t="s">
        <v>15531</v>
      </c>
      <c r="C11707" s="32">
        <v>935</v>
      </c>
    </row>
    <row r="11708" spans="1:3" x14ac:dyDescent="0.25">
      <c r="A11708" s="12" t="str">
        <f>("57-924075")</f>
        <v>57-924075</v>
      </c>
      <c r="B11708" s="15" t="s">
        <v>14168</v>
      </c>
      <c r="C11708" s="32">
        <v>1590</v>
      </c>
    </row>
    <row r="11709" spans="1:3" x14ac:dyDescent="0.25">
      <c r="A11709" s="12" t="str">
        <f>("57-924075A")</f>
        <v>57-924075A</v>
      </c>
      <c r="B11709" s="15" t="s">
        <v>14168</v>
      </c>
      <c r="C11709" s="32">
        <v>935</v>
      </c>
    </row>
    <row r="11710" spans="1:3" x14ac:dyDescent="0.25">
      <c r="A11710" s="12" t="str">
        <f>("59-710065")</f>
        <v>59-710065</v>
      </c>
      <c r="B11710" s="15" t="s">
        <v>15532</v>
      </c>
      <c r="C11710" s="32">
        <v>328.75</v>
      </c>
    </row>
    <row r="11711" spans="1:3" x14ac:dyDescent="0.25">
      <c r="A11711" s="12" t="str">
        <f>("59-711255")</f>
        <v>59-711255</v>
      </c>
      <c r="B11711" s="15" t="s">
        <v>15533</v>
      </c>
      <c r="C11711" s="32">
        <v>1150</v>
      </c>
    </row>
    <row r="11712" spans="1:3" x14ac:dyDescent="0.25">
      <c r="A11712" s="12" t="str">
        <f>("59-712195")</f>
        <v>59-712195</v>
      </c>
      <c r="B11712" s="15" t="s">
        <v>14227</v>
      </c>
      <c r="C11712" s="32">
        <v>1005</v>
      </c>
    </row>
    <row r="11713" spans="1:3" x14ac:dyDescent="0.25">
      <c r="A11713" s="12" t="str">
        <f>("59-721255")</f>
        <v>59-721255</v>
      </c>
      <c r="B11713" s="15" t="s">
        <v>15534</v>
      </c>
      <c r="C11713" s="32">
        <v>316.25</v>
      </c>
    </row>
    <row r="11714" spans="1:3" x14ac:dyDescent="0.25">
      <c r="A11714" s="12" t="str">
        <f>("59-731255")</f>
        <v>59-731255</v>
      </c>
      <c r="B11714" s="15" t="s">
        <v>14178</v>
      </c>
      <c r="C11714" s="32">
        <v>352.5</v>
      </c>
    </row>
    <row r="11715" spans="1:3" x14ac:dyDescent="0.25">
      <c r="A11715" s="12" t="str">
        <f>("59-732295")</f>
        <v>59-732295</v>
      </c>
      <c r="B11715" s="15" t="s">
        <v>14730</v>
      </c>
      <c r="C11715" s="32">
        <v>1292.5</v>
      </c>
    </row>
    <row r="11716" spans="1:3" x14ac:dyDescent="0.25">
      <c r="A11716" s="12" t="str">
        <f>("59-741255")</f>
        <v>59-741255</v>
      </c>
      <c r="B11716" s="15" t="s">
        <v>14178</v>
      </c>
      <c r="C11716" s="32">
        <v>143.75</v>
      </c>
    </row>
    <row r="11717" spans="1:3" x14ac:dyDescent="0.25">
      <c r="A11717" s="12" t="str">
        <f>("59-742295")</f>
        <v>59-742295</v>
      </c>
      <c r="B11717" s="15" t="s">
        <v>14730</v>
      </c>
      <c r="C11717" s="32">
        <v>1292.5</v>
      </c>
    </row>
    <row r="11718" spans="1:3" ht="31.5" x14ac:dyDescent="0.25">
      <c r="A11718" s="12" t="str">
        <f>("59-751255")</f>
        <v>59-751255</v>
      </c>
      <c r="B11718" s="15" t="s">
        <v>15535</v>
      </c>
      <c r="C11718" s="32">
        <v>661.25</v>
      </c>
    </row>
    <row r="11719" spans="1:3" x14ac:dyDescent="0.25">
      <c r="A11719" s="12" t="str">
        <f>("59-752295")</f>
        <v>59-752295</v>
      </c>
      <c r="B11719" s="15" t="s">
        <v>14730</v>
      </c>
      <c r="C11719" s="32">
        <v>286.25</v>
      </c>
    </row>
    <row r="11720" spans="1:3" x14ac:dyDescent="0.25">
      <c r="A11720" s="12" t="str">
        <f>("59-761255")</f>
        <v>59-761255</v>
      </c>
      <c r="B11720" s="15" t="s">
        <v>15536</v>
      </c>
      <c r="C11720" s="32">
        <v>661.25</v>
      </c>
    </row>
    <row r="11721" spans="1:3" x14ac:dyDescent="0.25">
      <c r="A11721" s="12" t="str">
        <f>("6-257022")</f>
        <v>6-257022</v>
      </c>
      <c r="B11721" s="15" t="s">
        <v>14980</v>
      </c>
      <c r="C11721" s="32">
        <v>0</v>
      </c>
    </row>
    <row r="11722" spans="1:3" x14ac:dyDescent="0.25">
      <c r="A11722" s="12" t="str">
        <f>("72-35901")</f>
        <v>72-35901</v>
      </c>
      <c r="B11722" s="15" t="s">
        <v>15537</v>
      </c>
      <c r="C11722" s="32">
        <v>148.75</v>
      </c>
    </row>
    <row r="11723" spans="1:3" x14ac:dyDescent="0.25">
      <c r="A11723" s="12" t="str">
        <f>("72-35903")</f>
        <v>72-35903</v>
      </c>
      <c r="B11723" s="15" t="s">
        <v>15538</v>
      </c>
      <c r="C11723" s="32">
        <v>148.75</v>
      </c>
    </row>
    <row r="11724" spans="1:3" x14ac:dyDescent="0.25">
      <c r="A11724" s="12" t="str">
        <f>("72-35907")</f>
        <v>72-35907</v>
      </c>
      <c r="B11724" s="15" t="s">
        <v>15539</v>
      </c>
      <c r="C11724" s="32">
        <v>148.75</v>
      </c>
    </row>
    <row r="11725" spans="1:3" x14ac:dyDescent="0.25">
      <c r="A11725" s="12" t="str">
        <f>("72-35909")</f>
        <v>72-35909</v>
      </c>
      <c r="B11725" s="15" t="s">
        <v>15540</v>
      </c>
      <c r="C11725" s="32">
        <v>148.75</v>
      </c>
    </row>
    <row r="11726" spans="1:3" x14ac:dyDescent="0.25">
      <c r="A11726" s="12" t="str">
        <f>("72-37905")</f>
        <v>72-37905</v>
      </c>
      <c r="B11726" s="15" t="s">
        <v>13770</v>
      </c>
      <c r="C11726" s="32">
        <v>148.75</v>
      </c>
    </row>
    <row r="11727" spans="1:3" x14ac:dyDescent="0.25">
      <c r="A11727" s="12" t="str">
        <f>("72-37907")</f>
        <v>72-37907</v>
      </c>
      <c r="B11727" s="15" t="s">
        <v>15541</v>
      </c>
      <c r="C11727" s="32">
        <v>148.75</v>
      </c>
    </row>
    <row r="11728" spans="1:3" x14ac:dyDescent="0.25">
      <c r="A11728" s="12" t="str">
        <f>("72-37909")</f>
        <v>72-37909</v>
      </c>
      <c r="B11728" s="15" t="s">
        <v>15542</v>
      </c>
      <c r="C11728" s="32">
        <v>148.75</v>
      </c>
    </row>
    <row r="11729" spans="1:3" ht="31.5" x14ac:dyDescent="0.25">
      <c r="A11729" s="12" t="str">
        <f>("72-39905")</f>
        <v>72-39905</v>
      </c>
      <c r="B11729" s="15" t="s">
        <v>15543</v>
      </c>
      <c r="C11729" s="32">
        <v>148.75</v>
      </c>
    </row>
    <row r="11730" spans="1:3" x14ac:dyDescent="0.25">
      <c r="A11730" s="12" t="str">
        <f>("72-39907")</f>
        <v>72-39907</v>
      </c>
      <c r="B11730" s="15" t="s">
        <v>15544</v>
      </c>
      <c r="C11730" s="32">
        <v>148.75</v>
      </c>
    </row>
    <row r="11731" spans="1:3" x14ac:dyDescent="0.25">
      <c r="A11731" s="12" t="str">
        <f>("72-39915")</f>
        <v>72-39915</v>
      </c>
      <c r="B11731" s="15" t="s">
        <v>15545</v>
      </c>
      <c r="C11731" s="32">
        <v>148.75</v>
      </c>
    </row>
    <row r="11732" spans="1:3" ht="31.5" x14ac:dyDescent="0.25">
      <c r="A11732" s="12" t="str">
        <f>("72-39917")</f>
        <v>72-39917</v>
      </c>
      <c r="B11732" s="15" t="s">
        <v>15546</v>
      </c>
      <c r="C11732" s="32">
        <v>148.75</v>
      </c>
    </row>
    <row r="11733" spans="1:3" x14ac:dyDescent="0.25">
      <c r="A11733" s="12" t="str">
        <f>("72-39919")</f>
        <v>72-39919</v>
      </c>
      <c r="B11733" s="15" t="s">
        <v>15547</v>
      </c>
      <c r="C11733" s="32">
        <v>112.5</v>
      </c>
    </row>
    <row r="11734" spans="1:3" x14ac:dyDescent="0.25">
      <c r="A11734" s="12" t="str">
        <f>("72-39923")</f>
        <v>72-39923</v>
      </c>
      <c r="B11734" s="15" t="s">
        <v>15548</v>
      </c>
      <c r="C11734" s="32">
        <v>148.75</v>
      </c>
    </row>
    <row r="11735" spans="1:3" x14ac:dyDescent="0.25">
      <c r="A11735" s="12" t="str">
        <f>("72-39929")</f>
        <v>72-39929</v>
      </c>
      <c r="B11735" s="15" t="s">
        <v>13783</v>
      </c>
      <c r="C11735" s="32">
        <v>148.75</v>
      </c>
    </row>
    <row r="11736" spans="1:3" x14ac:dyDescent="0.25">
      <c r="A11736" s="12" t="str">
        <f>("72-39931")</f>
        <v>72-39931</v>
      </c>
      <c r="B11736" s="15" t="s">
        <v>15549</v>
      </c>
      <c r="C11736" s="32">
        <v>148.75</v>
      </c>
    </row>
    <row r="11737" spans="1:3" x14ac:dyDescent="0.25">
      <c r="A11737" s="12" t="str">
        <f>("72-51995")</f>
        <v>72-51995</v>
      </c>
      <c r="B11737" s="15" t="s">
        <v>13717</v>
      </c>
      <c r="C11737" s="32">
        <v>148.75</v>
      </c>
    </row>
    <row r="11738" spans="1:3" x14ac:dyDescent="0.25">
      <c r="A11738" s="12" t="str">
        <f>("72-51999")</f>
        <v>72-51999</v>
      </c>
      <c r="B11738" s="15" t="s">
        <v>15550</v>
      </c>
      <c r="C11738" s="32">
        <v>148.75</v>
      </c>
    </row>
    <row r="11739" spans="1:3" x14ac:dyDescent="0.25">
      <c r="A11739" s="12" t="str">
        <f>("72-69983")</f>
        <v>72-69983</v>
      </c>
      <c r="B11739" s="15" t="s">
        <v>15551</v>
      </c>
      <c r="C11739" s="32">
        <v>148.75</v>
      </c>
    </row>
    <row r="11740" spans="1:3" x14ac:dyDescent="0.25">
      <c r="A11740" s="12" t="str">
        <f>("72-88913")</f>
        <v>72-88913</v>
      </c>
      <c r="B11740" s="15" t="s">
        <v>15552</v>
      </c>
      <c r="C11740" s="32">
        <v>148.75</v>
      </c>
    </row>
    <row r="11741" spans="1:3" x14ac:dyDescent="0.25">
      <c r="A11741" s="12" t="str">
        <f>("72-88915")</f>
        <v>72-88915</v>
      </c>
      <c r="B11741" s="15" t="s">
        <v>13716</v>
      </c>
      <c r="C11741" s="32">
        <v>148.75</v>
      </c>
    </row>
    <row r="11742" spans="1:3" x14ac:dyDescent="0.25">
      <c r="A11742" s="12" t="str">
        <f>("72-88919")</f>
        <v>72-88919</v>
      </c>
      <c r="B11742" s="15" t="s">
        <v>15553</v>
      </c>
      <c r="C11742" s="32">
        <v>112.5</v>
      </c>
    </row>
    <row r="11743" spans="1:3" x14ac:dyDescent="0.25">
      <c r="A11743" s="12" t="str">
        <f>("72-88933")</f>
        <v>72-88933</v>
      </c>
      <c r="B11743" s="15" t="s">
        <v>14777</v>
      </c>
      <c r="C11743" s="32">
        <v>148.75</v>
      </c>
    </row>
    <row r="11744" spans="1:3" x14ac:dyDescent="0.25">
      <c r="A11744" s="12" t="str">
        <f>("72-88935")</f>
        <v>72-88935</v>
      </c>
      <c r="B11744" s="15" t="s">
        <v>13735</v>
      </c>
      <c r="C11744" s="32">
        <v>148.75</v>
      </c>
    </row>
    <row r="11745" spans="1:3" x14ac:dyDescent="0.25">
      <c r="A11745" s="12" t="str">
        <f>("72-88936")</f>
        <v>72-88936</v>
      </c>
      <c r="B11745" s="15" t="s">
        <v>15554</v>
      </c>
      <c r="C11745" s="32">
        <v>148.75</v>
      </c>
    </row>
    <row r="11746" spans="1:3" x14ac:dyDescent="0.25">
      <c r="A11746" s="12" t="str">
        <f>("72-88937")</f>
        <v>72-88937</v>
      </c>
      <c r="B11746" s="15" t="s">
        <v>15555</v>
      </c>
      <c r="C11746" s="32">
        <v>148.75</v>
      </c>
    </row>
    <row r="11747" spans="1:3" x14ac:dyDescent="0.25">
      <c r="A11747" s="12" t="str">
        <f>("72-88938")</f>
        <v>72-88938</v>
      </c>
      <c r="B11747" s="15" t="s">
        <v>15556</v>
      </c>
      <c r="C11747" s="32">
        <v>148.75</v>
      </c>
    </row>
    <row r="11748" spans="1:3" x14ac:dyDescent="0.25">
      <c r="A11748" s="12" t="str">
        <f>("72-88939")</f>
        <v>72-88939</v>
      </c>
      <c r="B11748" s="15" t="s">
        <v>15557</v>
      </c>
      <c r="C11748" s="32">
        <v>148.75</v>
      </c>
    </row>
    <row r="11749" spans="1:3" x14ac:dyDescent="0.25">
      <c r="A11749" s="12" t="str">
        <f>("72-88940")</f>
        <v>72-88940</v>
      </c>
      <c r="B11749" s="15" t="s">
        <v>15558</v>
      </c>
      <c r="C11749" s="32">
        <v>148.75</v>
      </c>
    </row>
    <row r="11750" spans="1:3" x14ac:dyDescent="0.25">
      <c r="A11750" s="12" t="str">
        <f>("72-88941")</f>
        <v>72-88941</v>
      </c>
      <c r="B11750" s="15" t="s">
        <v>14573</v>
      </c>
      <c r="C11750" s="32">
        <v>161.25</v>
      </c>
    </row>
    <row r="11751" spans="1:3" x14ac:dyDescent="0.25">
      <c r="A11751" s="12" t="str">
        <f>("72-88942")</f>
        <v>72-88942</v>
      </c>
      <c r="B11751" s="15" t="s">
        <v>15559</v>
      </c>
      <c r="C11751" s="32">
        <v>161.25</v>
      </c>
    </row>
    <row r="11754" spans="1:3" x14ac:dyDescent="0.25">
      <c r="B11754" s="175"/>
      <c r="C11754" s="110"/>
    </row>
    <row r="11755" spans="1:3" x14ac:dyDescent="0.25">
      <c r="B11755" s="175"/>
      <c r="C11755" s="110"/>
    </row>
    <row r="11756" spans="1:3" x14ac:dyDescent="0.25">
      <c r="B11756" s="175"/>
      <c r="C11756" s="110"/>
    </row>
    <row r="11757" spans="1:3" x14ac:dyDescent="0.25">
      <c r="B11757" s="175"/>
      <c r="C11757" s="110"/>
    </row>
    <row r="11758" spans="1:3" x14ac:dyDescent="0.25">
      <c r="B11758" s="175"/>
      <c r="C11758" s="110"/>
    </row>
    <row r="11759" spans="1:3" x14ac:dyDescent="0.25">
      <c r="B11759" s="175"/>
      <c r="C11759" s="110"/>
    </row>
    <row r="11760" spans="1:3" x14ac:dyDescent="0.25">
      <c r="B11760" s="175"/>
      <c r="C11760" s="110"/>
    </row>
    <row r="11761" spans="2:3" x14ac:dyDescent="0.25">
      <c r="B11761" s="175"/>
      <c r="C11761" s="110"/>
    </row>
    <row r="11762" spans="2:3" x14ac:dyDescent="0.25">
      <c r="B11762" s="175"/>
      <c r="C11762" s="110"/>
    </row>
    <row r="11763" spans="2:3" x14ac:dyDescent="0.25">
      <c r="B11763" s="175"/>
      <c r="C11763" s="110"/>
    </row>
    <row r="11764" spans="2:3" x14ac:dyDescent="0.25">
      <c r="B11764" s="175"/>
      <c r="C11764" s="110"/>
    </row>
    <row r="11765" spans="2:3" x14ac:dyDescent="0.25">
      <c r="B11765" s="175"/>
      <c r="C11765" s="110"/>
    </row>
    <row r="11766" spans="2:3" x14ac:dyDescent="0.25">
      <c r="B11766" s="175"/>
      <c r="C11766" s="110"/>
    </row>
    <row r="11767" spans="2:3" x14ac:dyDescent="0.25">
      <c r="B11767" s="175"/>
      <c r="C11767" s="110"/>
    </row>
    <row r="11768" spans="2:3" x14ac:dyDescent="0.25">
      <c r="B11768" s="175"/>
      <c r="C11768" s="110"/>
    </row>
    <row r="11769" spans="2:3" x14ac:dyDescent="0.25">
      <c r="B11769" s="175"/>
      <c r="C11769" s="110"/>
    </row>
    <row r="11770" spans="2:3" x14ac:dyDescent="0.25">
      <c r="B11770" s="175"/>
      <c r="C11770" s="110"/>
    </row>
    <row r="11771" spans="2:3" x14ac:dyDescent="0.25">
      <c r="B11771" s="175"/>
      <c r="C11771" s="110"/>
    </row>
    <row r="11772" spans="2:3" x14ac:dyDescent="0.25">
      <c r="B11772" s="175"/>
      <c r="C11772" s="110"/>
    </row>
    <row r="11773" spans="2:3" x14ac:dyDescent="0.25">
      <c r="B11773" s="175"/>
      <c r="C11773" s="110"/>
    </row>
    <row r="11774" spans="2:3" x14ac:dyDescent="0.25">
      <c r="B11774" s="175"/>
      <c r="C11774" s="110"/>
    </row>
    <row r="11775" spans="2:3" x14ac:dyDescent="0.25">
      <c r="B11775" s="175"/>
      <c r="C11775" s="110"/>
    </row>
    <row r="11776" spans="2:3" x14ac:dyDescent="0.25">
      <c r="B11776" s="175"/>
      <c r="C11776" s="110"/>
    </row>
    <row r="11777" spans="2:3" x14ac:dyDescent="0.25">
      <c r="B11777" s="175"/>
      <c r="C11777" s="110"/>
    </row>
    <row r="11778" spans="2:3" x14ac:dyDescent="0.25">
      <c r="B11778" s="175"/>
      <c r="C11778" s="110"/>
    </row>
    <row r="11779" spans="2:3" x14ac:dyDescent="0.25">
      <c r="B11779" s="175"/>
      <c r="C11779" s="110"/>
    </row>
    <row r="11780" spans="2:3" x14ac:dyDescent="0.25">
      <c r="B11780" s="175"/>
      <c r="C11780" s="110"/>
    </row>
    <row r="11781" spans="2:3" x14ac:dyDescent="0.25">
      <c r="B11781" s="175"/>
      <c r="C11781" s="110"/>
    </row>
    <row r="11782" spans="2:3" x14ac:dyDescent="0.25">
      <c r="B11782" s="175"/>
      <c r="C11782" s="110"/>
    </row>
    <row r="11783" spans="2:3" x14ac:dyDescent="0.25">
      <c r="B11783" s="175"/>
      <c r="C11783" s="110"/>
    </row>
    <row r="11784" spans="2:3" x14ac:dyDescent="0.25">
      <c r="B11784" s="175"/>
      <c r="C11784" s="110"/>
    </row>
    <row r="11785" spans="2:3" x14ac:dyDescent="0.25">
      <c r="B11785" s="175"/>
      <c r="C11785" s="110"/>
    </row>
    <row r="11786" spans="2:3" x14ac:dyDescent="0.25">
      <c r="B11786" s="175"/>
      <c r="C11786" s="110"/>
    </row>
    <row r="11787" spans="2:3" x14ac:dyDescent="0.25">
      <c r="B11787" s="175"/>
      <c r="C11787" s="110"/>
    </row>
    <row r="11788" spans="2:3" x14ac:dyDescent="0.25">
      <c r="B11788" s="175"/>
      <c r="C11788" s="110"/>
    </row>
    <row r="11789" spans="2:3" x14ac:dyDescent="0.25">
      <c r="B11789" s="175"/>
      <c r="C11789" s="110"/>
    </row>
    <row r="11790" spans="2:3" x14ac:dyDescent="0.25">
      <c r="B11790" s="175"/>
      <c r="C11790" s="110"/>
    </row>
    <row r="11791" spans="2:3" x14ac:dyDescent="0.25">
      <c r="B11791" s="175"/>
      <c r="C11791" s="110"/>
    </row>
    <row r="11792" spans="2:3" x14ac:dyDescent="0.25">
      <c r="B11792" s="175"/>
      <c r="C11792" s="110"/>
    </row>
    <row r="11793" spans="2:3" x14ac:dyDescent="0.25">
      <c r="B11793" s="175"/>
      <c r="C11793" s="110"/>
    </row>
    <row r="11794" spans="2:3" x14ac:dyDescent="0.25">
      <c r="B11794" s="175"/>
      <c r="C11794" s="110"/>
    </row>
    <row r="11795" spans="2:3" x14ac:dyDescent="0.25">
      <c r="B11795" s="175"/>
      <c r="C11795" s="110"/>
    </row>
    <row r="11796" spans="2:3" x14ac:dyDescent="0.25">
      <c r="B11796" s="175"/>
      <c r="C11796" s="110"/>
    </row>
    <row r="11797" spans="2:3" x14ac:dyDescent="0.25">
      <c r="B11797" s="175"/>
      <c r="C11797" s="110"/>
    </row>
    <row r="11798" spans="2:3" x14ac:dyDescent="0.25">
      <c r="B11798" s="175"/>
      <c r="C11798" s="110"/>
    </row>
    <row r="11799" spans="2:3" x14ac:dyDescent="0.25">
      <c r="B11799" s="175"/>
      <c r="C11799" s="110"/>
    </row>
    <row r="11800" spans="2:3" x14ac:dyDescent="0.25">
      <c r="B11800" s="175"/>
      <c r="C11800" s="110"/>
    </row>
    <row r="11801" spans="2:3" x14ac:dyDescent="0.25">
      <c r="B11801" s="175"/>
      <c r="C11801" s="110"/>
    </row>
    <row r="11802" spans="2:3" x14ac:dyDescent="0.25">
      <c r="B11802" s="175"/>
      <c r="C11802" s="110"/>
    </row>
    <row r="11803" spans="2:3" x14ac:dyDescent="0.25">
      <c r="B11803" s="175"/>
      <c r="C11803" s="110"/>
    </row>
    <row r="11804" spans="2:3" x14ac:dyDescent="0.25">
      <c r="B11804" s="175"/>
      <c r="C11804" s="110"/>
    </row>
    <row r="11805" spans="2:3" x14ac:dyDescent="0.25">
      <c r="B11805" s="175"/>
      <c r="C11805" s="110"/>
    </row>
    <row r="11806" spans="2:3" x14ac:dyDescent="0.25">
      <c r="B11806" s="175"/>
      <c r="C11806" s="110"/>
    </row>
    <row r="11807" spans="2:3" x14ac:dyDescent="0.25">
      <c r="B11807" s="175"/>
      <c r="C11807" s="110"/>
    </row>
    <row r="11808" spans="2:3" x14ac:dyDescent="0.25">
      <c r="B11808" s="175"/>
      <c r="C11808" s="110"/>
    </row>
    <row r="11809" spans="2:3" x14ac:dyDescent="0.25">
      <c r="B11809" s="175"/>
      <c r="C11809" s="110"/>
    </row>
    <row r="11810" spans="2:3" x14ac:dyDescent="0.25">
      <c r="B11810" s="175"/>
      <c r="C11810" s="110"/>
    </row>
    <row r="11811" spans="2:3" x14ac:dyDescent="0.25">
      <c r="B11811" s="175"/>
      <c r="C11811" s="110"/>
    </row>
    <row r="11812" spans="2:3" x14ac:dyDescent="0.25">
      <c r="B11812" s="175"/>
      <c r="C11812" s="110"/>
    </row>
    <row r="11813" spans="2:3" x14ac:dyDescent="0.25">
      <c r="B11813" s="175"/>
      <c r="C11813" s="110"/>
    </row>
    <row r="11814" spans="2:3" x14ac:dyDescent="0.25">
      <c r="B11814" s="175"/>
      <c r="C11814" s="110"/>
    </row>
    <row r="11815" spans="2:3" x14ac:dyDescent="0.25">
      <c r="B11815" s="175"/>
      <c r="C11815" s="110"/>
    </row>
    <row r="11816" spans="2:3" x14ac:dyDescent="0.25">
      <c r="B11816" s="175"/>
      <c r="C11816" s="110"/>
    </row>
    <row r="11817" spans="2:3" x14ac:dyDescent="0.25">
      <c r="B11817" s="175"/>
      <c r="C11817" s="110"/>
    </row>
    <row r="11818" spans="2:3" x14ac:dyDescent="0.25">
      <c r="B11818" s="175"/>
      <c r="C11818" s="110"/>
    </row>
    <row r="11819" spans="2:3" x14ac:dyDescent="0.25">
      <c r="B11819" s="175"/>
      <c r="C11819" s="110"/>
    </row>
    <row r="11820" spans="2:3" x14ac:dyDescent="0.25">
      <c r="B11820" s="175"/>
      <c r="C11820" s="110"/>
    </row>
    <row r="11821" spans="2:3" x14ac:dyDescent="0.25">
      <c r="B11821" s="175"/>
      <c r="C11821" s="110"/>
    </row>
    <row r="11822" spans="2:3" x14ac:dyDescent="0.25">
      <c r="B11822" s="175"/>
      <c r="C11822" s="110"/>
    </row>
    <row r="11823" spans="2:3" x14ac:dyDescent="0.25">
      <c r="B11823" s="175"/>
      <c r="C11823" s="110"/>
    </row>
    <row r="11824" spans="2:3" x14ac:dyDescent="0.25">
      <c r="B11824" s="175"/>
      <c r="C11824" s="110"/>
    </row>
    <row r="11825" spans="2:3" x14ac:dyDescent="0.25">
      <c r="B11825" s="175"/>
      <c r="C11825" s="110"/>
    </row>
    <row r="11826" spans="2:3" x14ac:dyDescent="0.25">
      <c r="B11826" s="175"/>
      <c r="C11826" s="110"/>
    </row>
    <row r="11827" spans="2:3" x14ac:dyDescent="0.25">
      <c r="B11827" s="175"/>
      <c r="C11827" s="110"/>
    </row>
    <row r="11828" spans="2:3" x14ac:dyDescent="0.25">
      <c r="B11828" s="175"/>
      <c r="C11828" s="110"/>
    </row>
    <row r="11829" spans="2:3" x14ac:dyDescent="0.25">
      <c r="B11829" s="175"/>
      <c r="C11829" s="110"/>
    </row>
    <row r="11830" spans="2:3" x14ac:dyDescent="0.25">
      <c r="B11830" s="175"/>
      <c r="C11830" s="110"/>
    </row>
    <row r="11831" spans="2:3" x14ac:dyDescent="0.25">
      <c r="B11831" s="175"/>
      <c r="C11831" s="110"/>
    </row>
    <row r="11832" spans="2:3" x14ac:dyDescent="0.25">
      <c r="B11832" s="175"/>
      <c r="C11832" s="110"/>
    </row>
    <row r="11833" spans="2:3" x14ac:dyDescent="0.25">
      <c r="B11833" s="175"/>
      <c r="C11833" s="110"/>
    </row>
    <row r="11834" spans="2:3" x14ac:dyDescent="0.25">
      <c r="B11834" s="175"/>
      <c r="C11834" s="110"/>
    </row>
    <row r="11835" spans="2:3" x14ac:dyDescent="0.25">
      <c r="B11835" s="175"/>
      <c r="C11835" s="110"/>
    </row>
    <row r="11836" spans="2:3" x14ac:dyDescent="0.25">
      <c r="B11836" s="175"/>
      <c r="C11836" s="110"/>
    </row>
    <row r="11837" spans="2:3" x14ac:dyDescent="0.25">
      <c r="B11837" s="175"/>
      <c r="C11837" s="110"/>
    </row>
    <row r="11838" spans="2:3" x14ac:dyDescent="0.25">
      <c r="B11838" s="175"/>
      <c r="C11838" s="110"/>
    </row>
    <row r="11839" spans="2:3" x14ac:dyDescent="0.25">
      <c r="B11839" s="175"/>
      <c r="C11839" s="110"/>
    </row>
    <row r="11840" spans="2:3" x14ac:dyDescent="0.25">
      <c r="B11840" s="175"/>
      <c r="C11840" s="110"/>
    </row>
    <row r="11841" spans="2:3" x14ac:dyDescent="0.25">
      <c r="B11841" s="175"/>
      <c r="C11841" s="110"/>
    </row>
    <row r="11842" spans="2:3" x14ac:dyDescent="0.25">
      <c r="B11842" s="175"/>
      <c r="C11842" s="110"/>
    </row>
    <row r="11843" spans="2:3" x14ac:dyDescent="0.25">
      <c r="B11843" s="175"/>
      <c r="C11843" s="110"/>
    </row>
    <row r="11844" spans="2:3" x14ac:dyDescent="0.25">
      <c r="B11844" s="175"/>
      <c r="C11844" s="110"/>
    </row>
    <row r="11845" spans="2:3" x14ac:dyDescent="0.25">
      <c r="B11845" s="175"/>
      <c r="C11845" s="110"/>
    </row>
    <row r="11846" spans="2:3" x14ac:dyDescent="0.25">
      <c r="B11846" s="175"/>
      <c r="C11846" s="110"/>
    </row>
    <row r="11847" spans="2:3" x14ac:dyDescent="0.25">
      <c r="B11847" s="175"/>
      <c r="C11847" s="110"/>
    </row>
    <row r="11848" spans="2:3" x14ac:dyDescent="0.25">
      <c r="B11848" s="176"/>
      <c r="C11848" s="110"/>
    </row>
    <row r="11849" spans="2:3" x14ac:dyDescent="0.25">
      <c r="B11849" s="175"/>
      <c r="C11849" s="110"/>
    </row>
    <row r="11850" spans="2:3" x14ac:dyDescent="0.25">
      <c r="B11850" s="175"/>
      <c r="C11850" s="110"/>
    </row>
    <row r="11851" spans="2:3" x14ac:dyDescent="0.25">
      <c r="B11851" s="175"/>
      <c r="C11851" s="110"/>
    </row>
    <row r="11852" spans="2:3" x14ac:dyDescent="0.25">
      <c r="B11852" s="175"/>
      <c r="C11852" s="110"/>
    </row>
    <row r="11853" spans="2:3" x14ac:dyDescent="0.25">
      <c r="B11853" s="175"/>
      <c r="C11853" s="110"/>
    </row>
    <row r="11854" spans="2:3" x14ac:dyDescent="0.25">
      <c r="B11854" s="175"/>
      <c r="C11854" s="110"/>
    </row>
    <row r="11855" spans="2:3" x14ac:dyDescent="0.25">
      <c r="B11855" s="175"/>
      <c r="C11855" s="110"/>
    </row>
    <row r="11856" spans="2:3" x14ac:dyDescent="0.25">
      <c r="B11856" s="175"/>
      <c r="C11856" s="110"/>
    </row>
    <row r="11857" spans="2:3" x14ac:dyDescent="0.25">
      <c r="B11857" s="175"/>
      <c r="C11857" s="110"/>
    </row>
    <row r="11858" spans="2:3" x14ac:dyDescent="0.25">
      <c r="B11858" s="175"/>
      <c r="C11858" s="110"/>
    </row>
    <row r="11859" spans="2:3" x14ac:dyDescent="0.25">
      <c r="B11859" s="175"/>
      <c r="C11859" s="110"/>
    </row>
    <row r="11860" spans="2:3" x14ac:dyDescent="0.25">
      <c r="B11860" s="175"/>
      <c r="C11860" s="110"/>
    </row>
    <row r="11861" spans="2:3" x14ac:dyDescent="0.25">
      <c r="B11861" s="175"/>
      <c r="C11861" s="110"/>
    </row>
    <row r="11862" spans="2:3" x14ac:dyDescent="0.25">
      <c r="B11862" s="175"/>
      <c r="C11862" s="110"/>
    </row>
    <row r="11863" spans="2:3" x14ac:dyDescent="0.25">
      <c r="B11863" s="175"/>
      <c r="C11863" s="110"/>
    </row>
    <row r="11864" spans="2:3" x14ac:dyDescent="0.25">
      <c r="B11864" s="175"/>
      <c r="C11864" s="110"/>
    </row>
    <row r="11865" spans="2:3" x14ac:dyDescent="0.25">
      <c r="B11865" s="175"/>
      <c r="C11865" s="110"/>
    </row>
    <row r="11866" spans="2:3" x14ac:dyDescent="0.25">
      <c r="B11866" s="175"/>
      <c r="C11866" s="110"/>
    </row>
    <row r="11867" spans="2:3" x14ac:dyDescent="0.25">
      <c r="B11867" s="175"/>
      <c r="C11867" s="110"/>
    </row>
    <row r="11868" spans="2:3" x14ac:dyDescent="0.25">
      <c r="B11868" s="175"/>
      <c r="C11868" s="110"/>
    </row>
    <row r="11869" spans="2:3" x14ac:dyDescent="0.25">
      <c r="B11869" s="175"/>
      <c r="C11869" s="110"/>
    </row>
    <row r="11870" spans="2:3" x14ac:dyDescent="0.25">
      <c r="B11870" s="175"/>
      <c r="C11870" s="110"/>
    </row>
    <row r="11871" spans="2:3" x14ac:dyDescent="0.25">
      <c r="B11871" s="175"/>
      <c r="C11871" s="110"/>
    </row>
    <row r="11872" spans="2:3" x14ac:dyDescent="0.25">
      <c r="B11872" s="175"/>
      <c r="C11872" s="110"/>
    </row>
    <row r="11873" spans="2:3" x14ac:dyDescent="0.25">
      <c r="B11873" s="175"/>
      <c r="C11873" s="110"/>
    </row>
    <row r="11874" spans="2:3" x14ac:dyDescent="0.25">
      <c r="B11874" s="175"/>
      <c r="C11874" s="110"/>
    </row>
    <row r="11875" spans="2:3" x14ac:dyDescent="0.25">
      <c r="B11875" s="175"/>
      <c r="C11875" s="110"/>
    </row>
    <row r="11876" spans="2:3" x14ac:dyDescent="0.25">
      <c r="B11876" s="175"/>
      <c r="C11876" s="11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Page</vt:lpstr>
      <vt:lpstr>DSS Preferred Equipment</vt:lpstr>
      <vt:lpstr>DSS List of Services</vt:lpstr>
      <vt:lpstr>DSS Additional Top Sellers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Ginnetti</dc:creator>
  <cp:lastModifiedBy>Jonathan</cp:lastModifiedBy>
  <dcterms:created xsi:type="dcterms:W3CDTF">2025-09-12T20:11:16Z</dcterms:created>
  <dcterms:modified xsi:type="dcterms:W3CDTF">2025-10-17T13:54:22Z</dcterms:modified>
</cp:coreProperties>
</file>